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mschroeder/Desktop/"/>
    </mc:Choice>
  </mc:AlternateContent>
  <xr:revisionPtr revIDLastSave="0" documentId="8_{27D5C4B9-1FA6-E84D-83E1-0E9E90CDF89B}" xr6:coauthVersionLast="47" xr6:coauthVersionMax="47" xr10:uidLastSave="{00000000-0000-0000-0000-000000000000}"/>
  <bookViews>
    <workbookView xWindow="0" yWindow="500" windowWidth="22820" windowHeight="18100" tabRatio="680" activeTab="2" xr2:uid="{00000000-000D-0000-FFFF-FFFF00000000}"/>
  </bookViews>
  <sheets>
    <sheet name="General Parameters" sheetId="3" r:id="rId1"/>
    <sheet name="Juvenile Cost Detail" sheetId="12" r:id="rId2"/>
    <sheet name=" Summary Model Stage 4" sheetId="9" r:id="rId3"/>
    <sheet name="Equip Interest Stage 4" sheetId="10" state="hidden" r:id="rId4"/>
    <sheet name="Bldg Interest Stage 4" sheetId="11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2" l="1"/>
  <c r="E128" i="9" l="1"/>
  <c r="F128" i="9"/>
  <c r="G128" i="9"/>
  <c r="D128" i="9"/>
  <c r="G6" i="9" l="1"/>
  <c r="E5" i="10" l="1"/>
  <c r="F5" i="10"/>
  <c r="G5" i="10"/>
  <c r="E6" i="10"/>
  <c r="F6" i="10"/>
  <c r="G6" i="10"/>
  <c r="E7" i="10"/>
  <c r="F7" i="10"/>
  <c r="G7" i="10"/>
  <c r="D7" i="10"/>
  <c r="D6" i="10"/>
  <c r="D5" i="10"/>
  <c r="E5" i="11"/>
  <c r="F5" i="11"/>
  <c r="G5" i="11"/>
  <c r="E6" i="11"/>
  <c r="F6" i="11"/>
  <c r="G6" i="11"/>
  <c r="E7" i="11"/>
  <c r="F7" i="11"/>
  <c r="G7" i="11"/>
  <c r="D7" i="11"/>
  <c r="D6" i="11"/>
  <c r="D5" i="11"/>
  <c r="G151" i="9"/>
  <c r="F151" i="9"/>
  <c r="F154" i="9" s="1"/>
  <c r="F138" i="9" s="1"/>
  <c r="E151" i="9"/>
  <c r="D151" i="9"/>
  <c r="G150" i="9"/>
  <c r="G153" i="9" s="1"/>
  <c r="F150" i="9"/>
  <c r="F153" i="9" s="1"/>
  <c r="E150" i="9"/>
  <c r="E153" i="9" s="1"/>
  <c r="D150" i="9"/>
  <c r="D153" i="9" s="1"/>
  <c r="G146" i="9"/>
  <c r="F146" i="9"/>
  <c r="E146" i="9"/>
  <c r="D146" i="9"/>
  <c r="G139" i="9"/>
  <c r="F139" i="9"/>
  <c r="E139" i="9"/>
  <c r="D139" i="9"/>
  <c r="G129" i="9"/>
  <c r="F129" i="9"/>
  <c r="E129" i="9"/>
  <c r="D129" i="9"/>
  <c r="B123" i="9"/>
  <c r="B122" i="9"/>
  <c r="B121" i="9"/>
  <c r="B120" i="9"/>
  <c r="G117" i="9"/>
  <c r="F117" i="9"/>
  <c r="E117" i="9"/>
  <c r="D117" i="9"/>
  <c r="G56" i="9"/>
  <c r="G81" i="9" s="1"/>
  <c r="F56" i="9"/>
  <c r="F81" i="9" s="1"/>
  <c r="E56" i="9"/>
  <c r="E81" i="9" s="1"/>
  <c r="D56" i="9"/>
  <c r="D81" i="9" s="1"/>
  <c r="G50" i="9"/>
  <c r="G79" i="9" s="1"/>
  <c r="F50" i="9"/>
  <c r="F79" i="9" s="1"/>
  <c r="E50" i="9"/>
  <c r="E79" i="9" s="1"/>
  <c r="D50" i="9"/>
  <c r="D79" i="9" s="1"/>
  <c r="G48" i="9"/>
  <c r="G78" i="9" s="1"/>
  <c r="F48" i="9"/>
  <c r="F78" i="9" s="1"/>
  <c r="E48" i="9"/>
  <c r="E78" i="9" s="1"/>
  <c r="D48" i="9"/>
  <c r="D78" i="9" s="1"/>
  <c r="G32" i="9"/>
  <c r="G36" i="9" s="1"/>
  <c r="G40" i="9" s="1"/>
  <c r="F32" i="9"/>
  <c r="F36" i="9" s="1"/>
  <c r="F40" i="9" s="1"/>
  <c r="E32" i="9"/>
  <c r="E36" i="9" s="1"/>
  <c r="D32" i="9"/>
  <c r="D36" i="9" s="1"/>
  <c r="G27" i="9"/>
  <c r="G112" i="9" s="1"/>
  <c r="F27" i="9"/>
  <c r="F112" i="9" s="1"/>
  <c r="E27" i="9"/>
  <c r="E112" i="9" s="1"/>
  <c r="D27" i="9"/>
  <c r="D112" i="9" s="1"/>
  <c r="D4" i="10" l="1"/>
  <c r="D130" i="9"/>
  <c r="D131" i="9" s="1"/>
  <c r="G4" i="10"/>
  <c r="G10" i="10" s="1"/>
  <c r="G130" i="9"/>
  <c r="G131" i="9" s="1"/>
  <c r="F4" i="10"/>
  <c r="F10" i="10" s="1"/>
  <c r="F12" i="10" s="1"/>
  <c r="F130" i="9"/>
  <c r="F131" i="9" s="1"/>
  <c r="E4" i="10"/>
  <c r="E10" i="10" s="1"/>
  <c r="E11" i="10" s="1"/>
  <c r="E130" i="9"/>
  <c r="E131" i="9" s="1"/>
  <c r="D10" i="10"/>
  <c r="D11" i="10" s="1"/>
  <c r="G100" i="9"/>
  <c r="G123" i="9"/>
  <c r="G103" i="9"/>
  <c r="F44" i="9"/>
  <c r="F41" i="9"/>
  <c r="F100" i="9"/>
  <c r="F123" i="9"/>
  <c r="F124" i="9"/>
  <c r="F101" i="9"/>
  <c r="F103" i="9"/>
  <c r="G44" i="9"/>
  <c r="G41" i="9"/>
  <c r="G124" i="9"/>
  <c r="G101" i="9"/>
  <c r="F155" i="9"/>
  <c r="F4" i="11" s="1"/>
  <c r="F10" i="11" s="1"/>
  <c r="F11" i="11" s="1"/>
  <c r="F30" i="9"/>
  <c r="F29" i="9" s="1"/>
  <c r="D123" i="9"/>
  <c r="D100" i="9"/>
  <c r="D124" i="9"/>
  <c r="D101" i="9"/>
  <c r="G30" i="9"/>
  <c r="G29" i="9" s="1"/>
  <c r="E123" i="9"/>
  <c r="E100" i="9"/>
  <c r="E124" i="9"/>
  <c r="E101" i="9"/>
  <c r="D40" i="9"/>
  <c r="D30" i="9"/>
  <c r="D29" i="9" s="1"/>
  <c r="D74" i="9" s="1"/>
  <c r="D103" i="9"/>
  <c r="E40" i="9"/>
  <c r="E30" i="9"/>
  <c r="E29" i="9" s="1"/>
  <c r="E74" i="9" s="1"/>
  <c r="E103" i="9"/>
  <c r="F158" i="9"/>
  <c r="D154" i="9"/>
  <c r="D138" i="9" s="1"/>
  <c r="D158" i="9"/>
  <c r="G154" i="9"/>
  <c r="G138" i="9" s="1"/>
  <c r="G158" i="9"/>
  <c r="E154" i="9"/>
  <c r="E138" i="9" s="1"/>
  <c r="E158" i="9"/>
  <c r="F8" i="11" l="1"/>
  <c r="F26" i="11" s="1"/>
  <c r="G13" i="10"/>
  <c r="G16" i="10"/>
  <c r="G11" i="10"/>
  <c r="F8" i="10"/>
  <c r="F27" i="10" s="1"/>
  <c r="G20" i="10"/>
  <c r="G22" i="10"/>
  <c r="G15" i="10"/>
  <c r="D21" i="10"/>
  <c r="D22" i="10"/>
  <c r="G8" i="10"/>
  <c r="G27" i="10" s="1"/>
  <c r="G19" i="10"/>
  <c r="G14" i="10"/>
  <c r="D17" i="10"/>
  <c r="D8" i="10"/>
  <c r="D27" i="10" s="1"/>
  <c r="G18" i="10"/>
  <c r="G12" i="10"/>
  <c r="D13" i="10"/>
  <c r="E8" i="10"/>
  <c r="E27" i="10" s="1"/>
  <c r="E21" i="10"/>
  <c r="E33" i="9"/>
  <c r="E37" i="9" s="1"/>
  <c r="F92" i="9"/>
  <c r="E14" i="10"/>
  <c r="G21" i="10"/>
  <c r="G17" i="10"/>
  <c r="E20" i="10"/>
  <c r="E12" i="10"/>
  <c r="D16" i="10"/>
  <c r="E22" i="10"/>
  <c r="E17" i="10"/>
  <c r="E16" i="10"/>
  <c r="D20" i="10"/>
  <c r="D12" i="10"/>
  <c r="G155" i="9"/>
  <c r="G4" i="11" s="1"/>
  <c r="G10" i="11" s="1"/>
  <c r="G8" i="11" s="1"/>
  <c r="G26" i="11" s="1"/>
  <c r="F89" i="9"/>
  <c r="D18" i="10"/>
  <c r="D14" i="10"/>
  <c r="D33" i="9"/>
  <c r="D37" i="9" s="1"/>
  <c r="E18" i="10"/>
  <c r="E13" i="10"/>
  <c r="D19" i="10"/>
  <c r="D15" i="10"/>
  <c r="E90" i="9"/>
  <c r="D89" i="9"/>
  <c r="F90" i="9"/>
  <c r="G92" i="9"/>
  <c r="F15" i="10"/>
  <c r="D92" i="9"/>
  <c r="F19" i="10"/>
  <c r="F11" i="10"/>
  <c r="F17" i="10"/>
  <c r="F22" i="10"/>
  <c r="F21" i="10"/>
  <c r="F13" i="10"/>
  <c r="F18" i="11"/>
  <c r="F18" i="10"/>
  <c r="F14" i="10"/>
  <c r="F20" i="10"/>
  <c r="F16" i="10"/>
  <c r="E19" i="10"/>
  <c r="E15" i="10"/>
  <c r="F21" i="11"/>
  <c r="F17" i="11"/>
  <c r="F16" i="11"/>
  <c r="F22" i="11"/>
  <c r="F20" i="11"/>
  <c r="F15" i="11"/>
  <c r="F13" i="11"/>
  <c r="F12" i="11"/>
  <c r="F19" i="11"/>
  <c r="F14" i="11"/>
  <c r="E44" i="9"/>
  <c r="E41" i="9"/>
  <c r="G159" i="9"/>
  <c r="G160" i="9" s="1"/>
  <c r="F159" i="9"/>
  <c r="F160" i="9" s="1"/>
  <c r="E92" i="9"/>
  <c r="D155" i="9"/>
  <c r="D4" i="11" s="1"/>
  <c r="D10" i="11" s="1"/>
  <c r="D8" i="11" s="1"/>
  <c r="D26" i="11" s="1"/>
  <c r="D119" i="9"/>
  <c r="D96" i="9"/>
  <c r="D85" i="9"/>
  <c r="G165" i="9"/>
  <c r="D90" i="9"/>
  <c r="G45" i="9"/>
  <c r="G42" i="9"/>
  <c r="G46" i="9" s="1"/>
  <c r="G77" i="9" s="1"/>
  <c r="F45" i="9"/>
  <c r="F42" i="9"/>
  <c r="F46" i="9" s="1"/>
  <c r="F77" i="9" s="1"/>
  <c r="G89" i="9"/>
  <c r="E155" i="9"/>
  <c r="E4" i="11" s="1"/>
  <c r="E10" i="11" s="1"/>
  <c r="E8" i="11" s="1"/>
  <c r="E26" i="11" s="1"/>
  <c r="D165" i="9"/>
  <c r="D44" i="9"/>
  <c r="D41" i="9"/>
  <c r="G74" i="9"/>
  <c r="G33" i="9"/>
  <c r="E165" i="9"/>
  <c r="E119" i="9"/>
  <c r="E96" i="9"/>
  <c r="E85" i="9"/>
  <c r="E89" i="9"/>
  <c r="F74" i="9"/>
  <c r="F33" i="9"/>
  <c r="G90" i="9"/>
  <c r="F165" i="9"/>
  <c r="D34" i="9" l="1"/>
  <c r="D75" i="9" s="1"/>
  <c r="E34" i="9"/>
  <c r="E38" i="9" s="1"/>
  <c r="G24" i="10"/>
  <c r="G136" i="9" s="1"/>
  <c r="E24" i="10"/>
  <c r="E136" i="9" s="1"/>
  <c r="D24" i="10"/>
  <c r="D136" i="9" s="1"/>
  <c r="G13" i="11"/>
  <c r="G17" i="11"/>
  <c r="G21" i="11"/>
  <c r="G22" i="11"/>
  <c r="G14" i="11"/>
  <c r="G18" i="11"/>
  <c r="G15" i="11"/>
  <c r="G19" i="11"/>
  <c r="G12" i="11"/>
  <c r="G16" i="11"/>
  <c r="G20" i="11"/>
  <c r="G11" i="11"/>
  <c r="F24" i="10"/>
  <c r="F136" i="9" s="1"/>
  <c r="F24" i="11"/>
  <c r="F137" i="9" s="1"/>
  <c r="F168" i="9"/>
  <c r="E14" i="11"/>
  <c r="E18" i="11"/>
  <c r="E11" i="11"/>
  <c r="E12" i="11"/>
  <c r="E16" i="11"/>
  <c r="E20" i="11"/>
  <c r="E19" i="11"/>
  <c r="E22" i="11"/>
  <c r="E13" i="11"/>
  <c r="E17" i="11"/>
  <c r="E21" i="11"/>
  <c r="E15" i="11"/>
  <c r="D12" i="11"/>
  <c r="D16" i="11"/>
  <c r="D20" i="11"/>
  <c r="D19" i="11"/>
  <c r="D13" i="11"/>
  <c r="D17" i="11"/>
  <c r="D21" i="11"/>
  <c r="D11" i="11"/>
  <c r="D22" i="11"/>
  <c r="D14" i="11"/>
  <c r="D18" i="11"/>
  <c r="D15" i="11"/>
  <c r="F96" i="9"/>
  <c r="F119" i="9"/>
  <c r="F85" i="9"/>
  <c r="G37" i="9"/>
  <c r="G34" i="9"/>
  <c r="F122" i="9"/>
  <c r="F88" i="9"/>
  <c r="F99" i="9"/>
  <c r="G168" i="9"/>
  <c r="G96" i="9"/>
  <c r="G119" i="9"/>
  <c r="G85" i="9"/>
  <c r="E159" i="9"/>
  <c r="E160" i="9" s="1"/>
  <c r="F37" i="9"/>
  <c r="F34" i="9"/>
  <c r="D45" i="9"/>
  <c r="D42" i="9"/>
  <c r="D46" i="9" s="1"/>
  <c r="D77" i="9" s="1"/>
  <c r="G88" i="9"/>
  <c r="G122" i="9"/>
  <c r="G99" i="9"/>
  <c r="D159" i="9"/>
  <c r="D160" i="9" s="1"/>
  <c r="E45" i="9"/>
  <c r="E42" i="9"/>
  <c r="E46" i="9" s="1"/>
  <c r="E77" i="9" s="1"/>
  <c r="D76" i="9" l="1"/>
  <c r="D87" i="9" s="1"/>
  <c r="D38" i="9"/>
  <c r="E75" i="9"/>
  <c r="E120" i="9" s="1"/>
  <c r="E76" i="9"/>
  <c r="E98" i="9" s="1"/>
  <c r="F140" i="9"/>
  <c r="G24" i="11"/>
  <c r="G137" i="9" s="1"/>
  <c r="G140" i="9" s="1"/>
  <c r="E24" i="11"/>
  <c r="E137" i="9" s="1"/>
  <c r="E140" i="9" s="1"/>
  <c r="D168" i="9"/>
  <c r="D24" i="11"/>
  <c r="D137" i="9" s="1"/>
  <c r="D140" i="9" s="1"/>
  <c r="E99" i="9"/>
  <c r="E88" i="9"/>
  <c r="E122" i="9"/>
  <c r="D99" i="9"/>
  <c r="D88" i="9"/>
  <c r="D122" i="9"/>
  <c r="F76" i="9"/>
  <c r="F38" i="9"/>
  <c r="F75" i="9"/>
  <c r="E168" i="9"/>
  <c r="D120" i="9"/>
  <c r="D97" i="9"/>
  <c r="D86" i="9"/>
  <c r="G76" i="9"/>
  <c r="G38" i="9"/>
  <c r="G75" i="9"/>
  <c r="D98" i="9" l="1"/>
  <c r="D102" i="9" s="1"/>
  <c r="D104" i="9" s="1"/>
  <c r="D121" i="9"/>
  <c r="D125" i="9" s="1"/>
  <c r="D126" i="9" s="1"/>
  <c r="D133" i="9" s="1"/>
  <c r="D142" i="9" s="1"/>
  <c r="D80" i="9"/>
  <c r="D82" i="9" s="1"/>
  <c r="E87" i="9"/>
  <c r="E86" i="9"/>
  <c r="E97" i="9"/>
  <c r="E102" i="9" s="1"/>
  <c r="E104" i="9" s="1"/>
  <c r="E80" i="9"/>
  <c r="E82" i="9" s="1"/>
  <c r="E121" i="9"/>
  <c r="E125" i="9" s="1"/>
  <c r="E126" i="9" s="1"/>
  <c r="E133" i="9" s="1"/>
  <c r="D91" i="9"/>
  <c r="D93" i="9" s="1"/>
  <c r="G120" i="9"/>
  <c r="G86" i="9"/>
  <c r="G97" i="9"/>
  <c r="G80" i="9"/>
  <c r="G82" i="9" s="1"/>
  <c r="F121" i="9"/>
  <c r="F98" i="9"/>
  <c r="F87" i="9"/>
  <c r="G121" i="9"/>
  <c r="G98" i="9"/>
  <c r="G87" i="9"/>
  <c r="F86" i="9"/>
  <c r="F120" i="9"/>
  <c r="F97" i="9"/>
  <c r="F80" i="9"/>
  <c r="F82" i="9" s="1"/>
  <c r="F102" i="9" l="1"/>
  <c r="F104" i="9" s="1"/>
  <c r="F125" i="9"/>
  <c r="F126" i="9" s="1"/>
  <c r="F133" i="9" s="1"/>
  <c r="F163" i="9" s="1"/>
  <c r="F166" i="9" s="1"/>
  <c r="F169" i="9" s="1"/>
  <c r="E91" i="9"/>
  <c r="E93" i="9" s="1"/>
  <c r="F91" i="9"/>
  <c r="F93" i="9" s="1"/>
  <c r="D163" i="9"/>
  <c r="D166" i="9" s="1"/>
  <c r="D169" i="9" s="1"/>
  <c r="G102" i="9"/>
  <c r="G104" i="9" s="1"/>
  <c r="E163" i="9"/>
  <c r="E166" i="9" s="1"/>
  <c r="E169" i="9" s="1"/>
  <c r="E142" i="9"/>
  <c r="G91" i="9"/>
  <c r="G93" i="9" s="1"/>
  <c r="G125" i="9"/>
  <c r="G126" i="9" s="1"/>
  <c r="G133" i="9" s="1"/>
  <c r="F142" i="9" l="1"/>
  <c r="G163" i="9"/>
  <c r="G166" i="9" s="1"/>
  <c r="G169" i="9" s="1"/>
  <c r="G142" i="9"/>
</calcChain>
</file>

<file path=xl/sharedStrings.xml><?xml version="1.0" encoding="utf-8"?>
<sst xmlns="http://schemas.openxmlformats.org/spreadsheetml/2006/main" count="300" uniqueCount="171">
  <si>
    <t>Real Property</t>
  </si>
  <si>
    <t>Equipment</t>
  </si>
  <si>
    <t>Up front cash required</t>
  </si>
  <si>
    <t>Sq Ft</t>
  </si>
  <si>
    <t>Building</t>
  </si>
  <si>
    <t>Acres</t>
  </si>
  <si>
    <t>Land</t>
  </si>
  <si>
    <t>Total</t>
  </si>
  <si>
    <t>Capital Costs</t>
  </si>
  <si>
    <t>Years</t>
  </si>
  <si>
    <t>Equipment Term</t>
  </si>
  <si>
    <t>Interest Rate</t>
  </si>
  <si>
    <t>Loan Assumptions:</t>
  </si>
  <si>
    <t>Annual Production in Lbs</t>
  </si>
  <si>
    <t>Staff</t>
  </si>
  <si>
    <t>Manager</t>
  </si>
  <si>
    <t>Gross Margin</t>
  </si>
  <si>
    <t xml:space="preserve">           Harvest Labor</t>
  </si>
  <si>
    <t>Less:  Variable Costs</t>
  </si>
  <si>
    <t>Sales</t>
  </si>
  <si>
    <t>Annual Revenue</t>
  </si>
  <si>
    <t># Systems</t>
  </si>
  <si>
    <t xml:space="preserve">Total </t>
  </si>
  <si>
    <t>Total Variable</t>
  </si>
  <si>
    <t>Harvest Labor</t>
  </si>
  <si>
    <t>Electric</t>
  </si>
  <si>
    <t>Water</t>
  </si>
  <si>
    <t>Oxygen</t>
  </si>
  <si>
    <t>Feed</t>
  </si>
  <si>
    <t>Eggs</t>
  </si>
  <si>
    <t>Cost per Lb</t>
  </si>
  <si>
    <t>Cost per Fish</t>
  </si>
  <si>
    <t>Total Calculated Costs</t>
  </si>
  <si>
    <t>Cost per System</t>
  </si>
  <si>
    <t>gal</t>
  </si>
  <si>
    <t>Tank(s) Water Requirement</t>
  </si>
  <si>
    <t>lb</t>
  </si>
  <si>
    <t>Sales price whole per lb</t>
  </si>
  <si>
    <t>KW used per Production Cycle</t>
  </si>
  <si>
    <t>Cycle Water Loss</t>
  </si>
  <si>
    <t>System Water Requirement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</si>
  <si>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</si>
  <si>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kg</t>
  </si>
  <si>
    <t xml:space="preserve">Feed to Purchase </t>
  </si>
  <si>
    <t>Change in Biomass</t>
  </si>
  <si>
    <t>Final Fish</t>
  </si>
  <si>
    <t>lbs</t>
  </si>
  <si>
    <t>Feed to Purchase</t>
  </si>
  <si>
    <t>ea</t>
  </si>
  <si>
    <t>Final Fish Count</t>
  </si>
  <si>
    <t>Initial Fish Count</t>
  </si>
  <si>
    <t>Annual</t>
  </si>
  <si>
    <t>lb to g conversion factor</t>
  </si>
  <si>
    <t>Count</t>
  </si>
  <si>
    <t>Full Time Employees per system</t>
  </si>
  <si>
    <t>Hours</t>
  </si>
  <si>
    <t>Transfer / Harvest Staff Labor</t>
  </si>
  <si>
    <t>Rate</t>
  </si>
  <si>
    <t>%</t>
  </si>
  <si>
    <t>Survival Rate</t>
  </si>
  <si>
    <t>FCR</t>
  </si>
  <si>
    <t>Feed Type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</si>
  <si>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</si>
  <si>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Stocking Density</t>
  </si>
  <si>
    <t>Days</t>
  </si>
  <si>
    <t>Production Cycle</t>
  </si>
  <si>
    <t>g</t>
  </si>
  <si>
    <t>Harvest weight</t>
  </si>
  <si>
    <t>Initial weight</t>
  </si>
  <si>
    <t>Unit</t>
  </si>
  <si>
    <t>Business Evaluation</t>
  </si>
  <si>
    <t>Case 1</t>
  </si>
  <si>
    <t>Conversions</t>
  </si>
  <si>
    <t>Cubic Ft to Cubic Meters</t>
  </si>
  <si>
    <t>Conv m3 to gallons</t>
  </si>
  <si>
    <t>Convert HP to KW</t>
  </si>
  <si>
    <t>Base Rates</t>
  </si>
  <si>
    <t>per</t>
  </si>
  <si>
    <t>Gal</t>
  </si>
  <si>
    <t>KW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</si>
  <si>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</si>
  <si>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System Parameters</t>
  </si>
  <si>
    <t>Water loss per day</t>
  </si>
  <si>
    <t>Tank volume to system ratio</t>
  </si>
  <si>
    <t>Fry</t>
  </si>
  <si>
    <t>Feed Cost</t>
  </si>
  <si>
    <t>Hour</t>
  </si>
  <si>
    <t>Farm Staff</t>
  </si>
  <si>
    <t>Case 2</t>
  </si>
  <si>
    <t>Case 3</t>
  </si>
  <si>
    <t>Case 4</t>
  </si>
  <si>
    <t>Annual Production</t>
  </si>
  <si>
    <t>Equipment volume discount</t>
  </si>
  <si>
    <t>P &amp; I</t>
  </si>
  <si>
    <t>Operating Income</t>
  </si>
  <si>
    <t>Net Income</t>
  </si>
  <si>
    <t>Non-Operating Expense</t>
  </si>
  <si>
    <t>Operating Expense</t>
  </si>
  <si>
    <t xml:space="preserve">Operating </t>
  </si>
  <si>
    <t>Interest Expense-Equip</t>
  </si>
  <si>
    <t>Property Costs</t>
  </si>
  <si>
    <t>Needed per System</t>
  </si>
  <si>
    <t>RE Assumptions:</t>
  </si>
  <si>
    <t xml:space="preserve">Acre </t>
  </si>
  <si>
    <t>Price for existing warehouse</t>
  </si>
  <si>
    <t>Price for land</t>
  </si>
  <si>
    <t>Sqft</t>
  </si>
  <si>
    <t>Land Exp</t>
  </si>
  <si>
    <t>Bldg Exp</t>
  </si>
  <si>
    <t>Own</t>
  </si>
  <si>
    <t>% Financing - Equip</t>
  </si>
  <si>
    <t>Interest Expense-Bldg</t>
  </si>
  <si>
    <t>Depreciation-Bldg</t>
  </si>
  <si>
    <t>Equipment Costs</t>
  </si>
  <si>
    <t>Tank System</t>
  </si>
  <si>
    <t>Depreciation-Equip</t>
  </si>
  <si>
    <t>Annual Revenue and Expenses</t>
  </si>
  <si>
    <t>Revenue</t>
  </si>
  <si>
    <t>% Financed</t>
  </si>
  <si>
    <t>Less:</t>
  </si>
  <si>
    <t>Operating Income/Loss</t>
  </si>
  <si>
    <t>Principle and Interest - Equip</t>
  </si>
  <si>
    <t>Change in Cash</t>
  </si>
  <si>
    <t>Principle and Interest - Bldg</t>
  </si>
  <si>
    <t>Costs</t>
  </si>
  <si>
    <t>Species</t>
  </si>
  <si>
    <t>Labor</t>
  </si>
  <si>
    <t>Cash Flow  - Annual from first Harvest</t>
  </si>
  <si>
    <t>Total Cost</t>
  </si>
  <si>
    <t>Term</t>
  </si>
  <si>
    <t>Financed Amount</t>
  </si>
  <si>
    <t>Period Interest</t>
  </si>
  <si>
    <t>Yr 1 Interest</t>
  </si>
  <si>
    <t>Stage 4</t>
  </si>
  <si>
    <t>.</t>
  </si>
  <si>
    <t>System Maintenance</t>
  </si>
  <si>
    <t>Pymt</t>
  </si>
  <si>
    <t>P&amp;I</t>
  </si>
  <si>
    <t>Annual Payments</t>
  </si>
  <si>
    <t>Juvenile Cost</t>
  </si>
  <si>
    <t>HP consumed per hour</t>
  </si>
  <si>
    <t>Manager(s)</t>
  </si>
  <si>
    <t>Note:  Cells highlighted in Yellow or Orange can be modified to update results</t>
  </si>
  <si>
    <t>Total Sq Ft needed Per System</t>
  </si>
  <si>
    <t>Physical Plant Requirements</t>
  </si>
  <si>
    <t xml:space="preserve">Note:  These numbers take into account the cost of the 4 stage tank system(egg to market) and the square footage required for the associated physical facilities </t>
  </si>
  <si>
    <t>These parameters can be modified to exclude the stage 1 through 3 system costs, however, these costs would need to be added to the juvenile cost.</t>
  </si>
  <si>
    <t>Based on loan assumptions below</t>
  </si>
  <si>
    <t>% Financing - Real Estate</t>
  </si>
  <si>
    <t>Real Estate Interest Rate</t>
  </si>
  <si>
    <t>Real Estate Term</t>
  </si>
  <si>
    <t>Monthly Production per System</t>
  </si>
  <si>
    <t>Note:  Adjusting monthly production will increase system water volume requirement and the system design will need to be modified accordingly (e.g. adding additional tanks)  Which will change you physical plant requirements</t>
  </si>
  <si>
    <t>Note: A system includes all tanks and filtration needed to meet the production goal stated above **</t>
  </si>
  <si>
    <t>**</t>
  </si>
  <si>
    <t>Everything above this point represents a single system.  To model higher production, increase the number of systems.  Everything below this point represents the number of systems indicated below.</t>
  </si>
  <si>
    <t>Note: Manager $$ is multiplied by # of Systems</t>
  </si>
  <si>
    <t>Pompano Variable Production Costs for Juvenile Fish to 75g</t>
  </si>
  <si>
    <t>Stage 1</t>
  </si>
  <si>
    <t>Stage 2</t>
  </si>
  <si>
    <t>Stage 3</t>
  </si>
  <si>
    <t>kg/m3</t>
  </si>
  <si>
    <t>Salinity</t>
  </si>
  <si>
    <t>ppt</t>
  </si>
  <si>
    <t>Full Salinity</t>
  </si>
  <si>
    <t>10.0 +/- .05</t>
  </si>
  <si>
    <t>m3</t>
  </si>
  <si>
    <t>Variable Costs for 75g Juveniles</t>
  </si>
  <si>
    <t>Total Variable costs for first 3 stages divided by number of fish produced</t>
  </si>
  <si>
    <t>Note:  Includes only variable costs(See Juvenile Cost Detail Tab)</t>
  </si>
  <si>
    <r>
      <t xml:space="preserve">This workbook provides modeling based on the assumptions in the associated in the </t>
    </r>
    <r>
      <rPr>
        <b/>
        <i/>
        <sz val="16"/>
        <color rgb="FFFF0000"/>
        <rFont val="Calibri"/>
        <family val="2"/>
        <scheme val="minor"/>
      </rPr>
      <t>Economics of Pompano Production in RAS</t>
    </r>
    <r>
      <rPr>
        <b/>
        <i/>
        <sz val="16"/>
        <color theme="1"/>
        <rFont val="Calibri"/>
        <family val="2"/>
        <scheme val="minor"/>
      </rPr>
      <t xml:space="preserve"> workshop presentation and should NOT be used to make business decisions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</si>
</sst>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_);_(@_)"/>
    <numFmt numFmtId="165" formatCode="_(* #,##0_);_(* \(#,##0\);_(* &quot;-&quot;??_);_(@_)"/>
    <numFmt numFmtId="166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165" fontId="0" fillId="0" borderId="0" xfId="0" applyNumberFormat="1"/>
    <xf numFmtId="0" fontId="3" fillId="0" borderId="0" xfId="0" applyFont="1"/>
    <xf numFmtId="0" fontId="0" fillId="2" borderId="0" xfId="0" applyFill="1"/>
    <xf numFmtId="165" fontId="0" fillId="0" borderId="0" xfId="1" applyNumberFormat="1" applyFont="1"/>
    <xf numFmtId="0" fontId="0" fillId="8" borderId="0" xfId="0" applyFill="1"/>
    <xf numFmtId="0" fontId="9" fillId="8" borderId="0" xfId="0" applyFont="1" applyFill="1"/>
    <xf numFmtId="0" fontId="9" fillId="2" borderId="0" xfId="0" applyFont="1" applyFill="1"/>
    <xf numFmtId="0" fontId="2" fillId="2" borderId="2" xfId="0" applyFont="1" applyFill="1" applyBorder="1" applyAlignment="1">
      <alignment horizontal="center"/>
    </xf>
    <xf numFmtId="0" fontId="0" fillId="2" borderId="3" xfId="0" applyFill="1" applyBorder="1"/>
    <xf numFmtId="43" fontId="0" fillId="0" borderId="0" xfId="1" applyFont="1"/>
    <xf numFmtId="0" fontId="5" fillId="9" borderId="3" xfId="0" applyFont="1" applyFill="1" applyBorder="1" applyAlignment="1">
      <alignment horizontal="center"/>
    </xf>
    <xf numFmtId="9" fontId="0" fillId="0" borderId="0" xfId="0" applyNumberFormat="1"/>
    <xf numFmtId="8" fontId="0" fillId="0" borderId="0" xfId="0" applyNumberFormat="1"/>
    <xf numFmtId="1" fontId="0" fillId="0" borderId="0" xfId="0" applyNumberFormat="1"/>
    <xf numFmtId="0" fontId="0" fillId="3" borderId="3" xfId="0" applyFill="1" applyBorder="1" applyProtection="1">
      <protection locked="0"/>
    </xf>
    <xf numFmtId="43" fontId="0" fillId="3" borderId="3" xfId="1" applyFont="1" applyFill="1" applyBorder="1" applyProtection="1">
      <protection locked="0"/>
    </xf>
    <xf numFmtId="165" fontId="0" fillId="3" borderId="3" xfId="1" applyNumberFormat="1" applyFont="1" applyFill="1" applyBorder="1" applyProtection="1">
      <protection locked="0"/>
    </xf>
    <xf numFmtId="43" fontId="0" fillId="3" borderId="15" xfId="1" applyFont="1" applyFill="1" applyBorder="1" applyProtection="1">
      <protection locked="0"/>
    </xf>
    <xf numFmtId="43" fontId="0" fillId="3" borderId="16" xfId="1" applyFont="1" applyFill="1" applyBorder="1" applyProtection="1">
      <protection locked="0"/>
    </xf>
    <xf numFmtId="43" fontId="0" fillId="3" borderId="10" xfId="1" applyFont="1" applyFill="1" applyBorder="1" applyProtection="1">
      <protection locked="0"/>
    </xf>
    <xf numFmtId="43" fontId="0" fillId="3" borderId="11" xfId="1" applyFont="1" applyFill="1" applyBorder="1" applyProtection="1">
      <protection locked="0"/>
    </xf>
    <xf numFmtId="43" fontId="0" fillId="3" borderId="12" xfId="1" applyFont="1" applyFill="1" applyBorder="1" applyProtection="1">
      <protection locked="0"/>
    </xf>
    <xf numFmtId="1" fontId="0" fillId="3" borderId="3" xfId="1" applyNumberFormat="1" applyFont="1" applyFill="1" applyBorder="1" applyProtection="1">
      <protection locked="0"/>
    </xf>
    <xf numFmtId="1" fontId="0" fillId="3" borderId="10" xfId="1" applyNumberFormat="1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65" fontId="0" fillId="3" borderId="15" xfId="1" applyNumberFormat="1" applyFont="1" applyFill="1" applyBorder="1" applyProtection="1">
      <protection locked="0"/>
    </xf>
    <xf numFmtId="165" fontId="0" fillId="3" borderId="16" xfId="1" applyNumberFormat="1" applyFont="1" applyFill="1" applyBorder="1" applyProtection="1">
      <protection locked="0"/>
    </xf>
    <xf numFmtId="165" fontId="0" fillId="3" borderId="11" xfId="1" applyNumberFormat="1" applyFont="1" applyFill="1" applyBorder="1" applyProtection="1">
      <protection locked="0"/>
    </xf>
    <xf numFmtId="165" fontId="0" fillId="3" borderId="12" xfId="1" applyNumberFormat="1" applyFont="1" applyFill="1" applyBorder="1" applyProtection="1">
      <protection locked="0"/>
    </xf>
    <xf numFmtId="9" fontId="0" fillId="3" borderId="3" xfId="0" applyNumberFormat="1" applyFill="1" applyBorder="1" applyProtection="1">
      <protection locked="0"/>
    </xf>
    <xf numFmtId="0" fontId="5" fillId="2" borderId="0" xfId="0" applyFont="1" applyFill="1" applyBorder="1" applyProtection="1"/>
    <xf numFmtId="0" fontId="0" fillId="2" borderId="0" xfId="0" applyFill="1" applyProtection="1"/>
    <xf numFmtId="165" fontId="0" fillId="2" borderId="0" xfId="0" applyNumberFormat="1" applyFill="1" applyProtection="1"/>
    <xf numFmtId="0" fontId="0" fillId="2" borderId="0" xfId="0" applyFill="1" applyAlignment="1" applyProtection="1">
      <alignment horizontal="right"/>
    </xf>
    <xf numFmtId="165" fontId="0" fillId="2" borderId="2" xfId="1" applyNumberFormat="1" applyFont="1" applyFill="1" applyBorder="1" applyProtection="1"/>
    <xf numFmtId="0" fontId="0" fillId="0" borderId="0" xfId="0" applyProtection="1"/>
    <xf numFmtId="165" fontId="0" fillId="2" borderId="0" xfId="1" applyNumberFormat="1" applyFont="1" applyFill="1" applyProtection="1"/>
    <xf numFmtId="164" fontId="0" fillId="2" borderId="1" xfId="0" applyNumberFormat="1" applyFill="1" applyBorder="1" applyProtection="1"/>
    <xf numFmtId="0" fontId="0" fillId="2" borderId="0" xfId="0" applyFill="1" applyBorder="1" applyProtection="1"/>
    <xf numFmtId="0" fontId="4" fillId="2" borderId="0" xfId="0" applyFont="1" applyFill="1" applyBorder="1" applyProtection="1"/>
    <xf numFmtId="0" fontId="0" fillId="4" borderId="0" xfId="0" applyFill="1" applyBorder="1" applyProtection="1"/>
    <xf numFmtId="43" fontId="0" fillId="4" borderId="0" xfId="1" applyFont="1" applyFill="1" applyBorder="1" applyProtection="1"/>
    <xf numFmtId="165" fontId="0" fillId="4" borderId="0" xfId="1" applyNumberFormat="1" applyFont="1" applyFill="1" applyBorder="1" applyProtection="1"/>
    <xf numFmtId="0" fontId="0" fillId="2" borderId="0" xfId="0" applyFill="1" applyBorder="1" applyAlignment="1" applyProtection="1">
      <alignment horizontal="right"/>
    </xf>
    <xf numFmtId="165" fontId="0" fillId="2" borderId="0" xfId="0" applyNumberFormat="1" applyFill="1" applyBorder="1" applyProtection="1"/>
    <xf numFmtId="165" fontId="0" fillId="2" borderId="4" xfId="0" applyNumberFormat="1" applyFill="1" applyBorder="1" applyProtection="1"/>
    <xf numFmtId="165" fontId="0" fillId="2" borderId="4" xfId="1" applyNumberFormat="1" applyFont="1" applyFill="1" applyBorder="1" applyProtection="1"/>
    <xf numFmtId="2" fontId="0" fillId="11" borderId="15" xfId="1" applyNumberFormat="1" applyFont="1" applyFill="1" applyBorder="1" applyProtection="1">
      <protection locked="0"/>
    </xf>
    <xf numFmtId="2" fontId="0" fillId="11" borderId="16" xfId="1" applyNumberFormat="1" applyFont="1" applyFill="1" applyBorder="1" applyProtection="1">
      <protection locked="0"/>
    </xf>
    <xf numFmtId="9" fontId="0" fillId="3" borderId="3" xfId="2" applyFont="1" applyFill="1" applyBorder="1" applyProtection="1">
      <protection locked="0"/>
    </xf>
    <xf numFmtId="165" fontId="0" fillId="11" borderId="3" xfId="1" applyNumberFormat="1" applyFont="1" applyFill="1" applyBorder="1" applyProtection="1">
      <protection locked="0"/>
    </xf>
    <xf numFmtId="0" fontId="9" fillId="10" borderId="0" xfId="0" applyFont="1" applyFill="1" applyProtection="1"/>
    <xf numFmtId="0" fontId="8" fillId="10" borderId="0" xfId="0" applyFont="1" applyFill="1" applyProtection="1"/>
    <xf numFmtId="0" fontId="8" fillId="0" borderId="0" xfId="0" applyFont="1" applyProtection="1"/>
    <xf numFmtId="0" fontId="7" fillId="0" borderId="0" xfId="0" applyFont="1" applyProtection="1"/>
    <xf numFmtId="0" fontId="5" fillId="9" borderId="3" xfId="0" applyFont="1" applyFill="1" applyBorder="1" applyAlignment="1" applyProtection="1">
      <alignment horizontal="center"/>
    </xf>
    <xf numFmtId="0" fontId="5" fillId="0" borderId="0" xfId="0" applyFont="1" applyBorder="1" applyProtection="1"/>
    <xf numFmtId="43" fontId="0" fillId="0" borderId="0" xfId="0" applyNumberFormat="1" applyProtection="1"/>
    <xf numFmtId="0" fontId="4" fillId="0" borderId="0" xfId="0" applyFont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6" xfId="0" applyBorder="1" applyProtection="1"/>
    <xf numFmtId="0" fontId="0" fillId="4" borderId="0" xfId="0" applyFill="1" applyProtection="1"/>
    <xf numFmtId="165" fontId="0" fillId="4" borderId="3" xfId="1" applyNumberFormat="1" applyFont="1" applyFill="1" applyBorder="1" applyProtection="1"/>
    <xf numFmtId="0" fontId="0" fillId="7" borderId="0" xfId="0" applyFill="1" applyProtection="1"/>
    <xf numFmtId="165" fontId="0" fillId="7" borderId="3" xfId="1" applyNumberFormat="1" applyFont="1" applyFill="1" applyBorder="1" applyProtection="1"/>
    <xf numFmtId="165" fontId="0" fillId="0" borderId="0" xfId="1" applyNumberFormat="1" applyFont="1" applyProtection="1"/>
    <xf numFmtId="165" fontId="0" fillId="7" borderId="3" xfId="0" applyNumberFormat="1" applyFill="1" applyBorder="1" applyProtection="1"/>
    <xf numFmtId="0" fontId="0" fillId="0" borderId="0" xfId="0" applyFill="1" applyProtection="1"/>
    <xf numFmtId="165" fontId="0" fillId="0" borderId="0" xfId="0" applyNumberFormat="1" applyFill="1" applyBorder="1" applyProtection="1"/>
    <xf numFmtId="0" fontId="2" fillId="0" borderId="0" xfId="0" applyFont="1" applyProtection="1"/>
    <xf numFmtId="6" fontId="0" fillId="5" borderId="1" xfId="0" applyNumberFormat="1" applyFill="1" applyBorder="1" applyProtection="1"/>
    <xf numFmtId="0" fontId="3" fillId="0" borderId="0" xfId="0" applyFont="1" applyProtection="1"/>
    <xf numFmtId="0" fontId="2" fillId="0" borderId="2" xfId="0" applyFont="1" applyBorder="1" applyAlignment="1" applyProtection="1">
      <alignment horizontal="center"/>
    </xf>
    <xf numFmtId="0" fontId="0" fillId="6" borderId="0" xfId="0" applyFill="1" applyProtection="1"/>
    <xf numFmtId="165" fontId="0" fillId="6" borderId="3" xfId="1" applyNumberFormat="1" applyFont="1" applyFill="1" applyBorder="1" applyProtection="1"/>
    <xf numFmtId="165" fontId="0" fillId="6" borderId="3" xfId="0" applyNumberFormat="1" applyFill="1" applyBorder="1" applyProtection="1"/>
    <xf numFmtId="0" fontId="0" fillId="6" borderId="0" xfId="0" applyFill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165" fontId="0" fillId="4" borderId="7" xfId="1" applyNumberFormat="1" applyFont="1" applyFill="1" applyBorder="1" applyProtection="1"/>
    <xf numFmtId="166" fontId="0" fillId="6" borderId="3" xfId="1" applyNumberFormat="1" applyFont="1" applyFill="1" applyBorder="1" applyProtection="1"/>
    <xf numFmtId="166" fontId="0" fillId="4" borderId="0" xfId="1" applyNumberFormat="1" applyFont="1" applyFill="1" applyBorder="1" applyProtection="1"/>
    <xf numFmtId="166" fontId="0" fillId="4" borderId="3" xfId="1" applyNumberFormat="1" applyFont="1" applyFill="1" applyBorder="1" applyProtection="1"/>
    <xf numFmtId="0" fontId="2" fillId="5" borderId="0" xfId="0" applyFont="1" applyFill="1" applyProtection="1"/>
    <xf numFmtId="0" fontId="0" fillId="5" borderId="0" xfId="0" applyFill="1" applyProtection="1"/>
    <xf numFmtId="165" fontId="0" fillId="5" borderId="0" xfId="1" applyNumberFormat="1" applyFont="1" applyFill="1" applyProtection="1"/>
    <xf numFmtId="0" fontId="0" fillId="5" borderId="0" xfId="0" applyFill="1" applyAlignment="1" applyProtection="1">
      <alignment horizontal="right"/>
    </xf>
    <xf numFmtId="165" fontId="0" fillId="5" borderId="0" xfId="0" applyNumberFormat="1" applyFill="1" applyProtection="1"/>
    <xf numFmtId="165" fontId="0" fillId="5" borderId="4" xfId="0" applyNumberFormat="1" applyFill="1" applyBorder="1" applyProtection="1"/>
    <xf numFmtId="0" fontId="2" fillId="5" borderId="0" xfId="0" applyFont="1" applyFill="1" applyAlignment="1" applyProtection="1">
      <alignment horizontal="right"/>
    </xf>
    <xf numFmtId="165" fontId="0" fillId="5" borderId="0" xfId="1" applyNumberFormat="1" applyFont="1" applyFill="1" applyBorder="1" applyProtection="1"/>
    <xf numFmtId="9" fontId="0" fillId="5" borderId="0" xfId="2" applyFont="1" applyFill="1" applyBorder="1" applyProtection="1"/>
    <xf numFmtId="165" fontId="0" fillId="5" borderId="0" xfId="0" applyNumberFormat="1" applyFill="1" applyBorder="1" applyProtection="1"/>
    <xf numFmtId="165" fontId="0" fillId="5" borderId="1" xfId="0" applyNumberFormat="1" applyFill="1" applyBorder="1" applyProtection="1"/>
    <xf numFmtId="0" fontId="0" fillId="4" borderId="5" xfId="0" applyFill="1" applyBorder="1" applyProtection="1"/>
    <xf numFmtId="0" fontId="2" fillId="4" borderId="4" xfId="0" applyFont="1" applyFill="1" applyBorder="1" applyProtection="1"/>
    <xf numFmtId="165" fontId="2" fillId="4" borderId="4" xfId="0" applyNumberFormat="1" applyFont="1" applyFill="1" applyBorder="1" applyProtection="1"/>
    <xf numFmtId="9" fontId="0" fillId="3" borderId="0" xfId="0" applyNumberFormat="1" applyFill="1" applyProtection="1">
      <protection locked="0"/>
    </xf>
    <xf numFmtId="0" fontId="8" fillId="0" borderId="0" xfId="0" applyFont="1" applyFill="1" applyProtection="1"/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wrapText="1"/>
    </xf>
    <xf numFmtId="43" fontId="0" fillId="0" borderId="0" xfId="0" applyNumberFormat="1" applyAlignment="1" applyProtection="1">
      <alignment wrapText="1"/>
    </xf>
    <xf numFmtId="6" fontId="0" fillId="0" borderId="0" xfId="0" applyNumberFormat="1" applyAlignment="1" applyProtection="1">
      <alignment wrapText="1"/>
    </xf>
    <xf numFmtId="165" fontId="0" fillId="0" borderId="0" xfId="0" applyNumberFormat="1" applyAlignment="1" applyProtection="1">
      <alignment wrapText="1"/>
    </xf>
    <xf numFmtId="0" fontId="0" fillId="0" borderId="0" xfId="0" applyAlignment="1" applyProtection="1">
      <alignment horizontal="right"/>
    </xf>
    <xf numFmtId="166" fontId="0" fillId="0" borderId="0" xfId="1" applyNumberFormat="1" applyFont="1" applyFill="1" applyBorder="1" applyProtection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1" fontId="0" fillId="2" borderId="7" xfId="1" applyNumberFormat="1" applyFont="1" applyFill="1" applyBorder="1"/>
    <xf numFmtId="2" fontId="0" fillId="2" borderId="7" xfId="1" applyNumberFormat="1" applyFont="1" applyFill="1" applyBorder="1"/>
    <xf numFmtId="2" fontId="0" fillId="2" borderId="3" xfId="1" applyNumberFormat="1" applyFont="1" applyFill="1" applyBorder="1"/>
    <xf numFmtId="1" fontId="0" fillId="2" borderId="3" xfId="1" applyNumberFormat="1" applyFont="1" applyFill="1" applyBorder="1"/>
    <xf numFmtId="1" fontId="0" fillId="2" borderId="3" xfId="0" applyNumberFormat="1" applyFill="1" applyBorder="1"/>
    <xf numFmtId="2" fontId="0" fillId="2" borderId="3" xfId="0" applyNumberFormat="1" applyFill="1" applyBorder="1"/>
    <xf numFmtId="2" fontId="0" fillId="2" borderId="20" xfId="0" applyNumberFormat="1" applyFill="1" applyBorder="1"/>
    <xf numFmtId="0" fontId="0" fillId="5" borderId="21" xfId="0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2" borderId="3" xfId="1" applyNumberFormat="1" applyFont="1" applyFill="1" applyBorder="1"/>
    <xf numFmtId="0" fontId="0" fillId="7" borderId="0" xfId="0" applyFill="1"/>
    <xf numFmtId="165" fontId="0" fillId="7" borderId="3" xfId="1" applyNumberFormat="1" applyFont="1" applyFill="1" applyBorder="1"/>
    <xf numFmtId="165" fontId="0" fillId="7" borderId="3" xfId="0" applyNumberFormat="1" applyFill="1" applyBorder="1"/>
    <xf numFmtId="165" fontId="0" fillId="7" borderId="0" xfId="0" applyNumberFormat="1" applyFill="1" applyBorder="1"/>
    <xf numFmtId="0" fontId="0" fillId="0" borderId="0" xfId="0" applyFill="1"/>
    <xf numFmtId="165" fontId="0" fillId="0" borderId="0" xfId="0" applyNumberFormat="1" applyFill="1" applyBorder="1"/>
    <xf numFmtId="0" fontId="2" fillId="0" borderId="0" xfId="0" applyFont="1"/>
    <xf numFmtId="0" fontId="0" fillId="6" borderId="0" xfId="0" applyFill="1"/>
    <xf numFmtId="165" fontId="0" fillId="6" borderId="3" xfId="1" applyNumberFormat="1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165" fontId="0" fillId="6" borderId="0" xfId="0" applyNumberFormat="1" applyFill="1" applyBorder="1"/>
    <xf numFmtId="0" fontId="0" fillId="6" borderId="0" xfId="0" applyFill="1" applyAlignment="1">
      <alignment horizontal="right"/>
    </xf>
    <xf numFmtId="166" fontId="0" fillId="6" borderId="0" xfId="1" applyNumberFormat="1" applyFont="1" applyFill="1" applyBorder="1"/>
    <xf numFmtId="0" fontId="2" fillId="0" borderId="0" xfId="0" applyFont="1" applyFill="1" applyAlignment="1">
      <alignment horizontal="right"/>
    </xf>
    <xf numFmtId="165" fontId="0" fillId="4" borderId="3" xfId="1" applyNumberFormat="1" applyFont="1" applyFill="1" applyBorder="1"/>
    <xf numFmtId="166" fontId="0" fillId="6" borderId="3" xfId="1" applyNumberFormat="1" applyFont="1" applyFill="1" applyBorder="1"/>
    <xf numFmtId="2" fontId="2" fillId="2" borderId="21" xfId="0" applyNumberFormat="1" applyFont="1" applyFill="1" applyBorder="1"/>
    <xf numFmtId="0" fontId="0" fillId="0" borderId="17" xfId="0" applyFill="1" applyBorder="1" applyProtection="1"/>
    <xf numFmtId="0" fontId="0" fillId="0" borderId="18" xfId="0" applyFill="1" applyBorder="1" applyProtection="1"/>
    <xf numFmtId="43" fontId="0" fillId="3" borderId="22" xfId="1" applyNumberFormat="1" applyFont="1" applyFill="1" applyBorder="1" applyProtection="1">
      <protection locked="0"/>
    </xf>
    <xf numFmtId="43" fontId="0" fillId="3" borderId="23" xfId="1" applyNumberFormat="1" applyFont="1" applyFill="1" applyBorder="1" applyProtection="1">
      <protection locked="0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10" fillId="5" borderId="0" xfId="0" applyFont="1" applyFill="1" applyAlignment="1" applyProtection="1">
      <alignment horizontal="center" wrapText="1"/>
    </xf>
    <xf numFmtId="0" fontId="3" fillId="4" borderId="3" xfId="0" applyFont="1" applyFill="1" applyBorder="1" applyAlignment="1" applyProtection="1">
      <alignment horizontal="center"/>
    </xf>
    <xf numFmtId="0" fontId="9" fillId="12" borderId="17" xfId="0" applyFont="1" applyFill="1" applyBorder="1" applyAlignment="1" applyProtection="1">
      <alignment horizontal="center" wrapText="1"/>
    </xf>
    <xf numFmtId="0" fontId="9" fillId="12" borderId="18" xfId="0" applyFont="1" applyFill="1" applyBorder="1" applyAlignment="1" applyProtection="1">
      <alignment horizontal="center" wrapText="1"/>
    </xf>
    <xf numFmtId="0" fontId="9" fillId="12" borderId="19" xfId="0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25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76275" y="490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D2" sqref="D2"/>
    </sheetView>
  </sheetViews>
  <sheetFormatPr baseColWidth="10" defaultColWidth="8.83203125" defaultRowHeight="15" x14ac:dyDescent="0.2"/>
  <cols>
    <col min="1" max="1" width="4.1640625" customWidth="1"/>
    <col min="2" max="2" width="23.5" customWidth="1"/>
    <col min="3" max="3" width="6.5" customWidth="1"/>
    <col min="4" max="4" width="10.5" bestFit="1" customWidth="1"/>
    <col min="5" max="6" width="7.6640625" customWidth="1"/>
    <col min="7" max="7" width="8" customWidth="1"/>
  </cols>
  <sheetData>
    <row r="1" spans="1:5" ht="19" x14ac:dyDescent="0.25">
      <c r="A1" s="7" t="s">
        <v>76</v>
      </c>
      <c r="B1" s="3"/>
      <c r="C1" s="8" t="s">
        <v>69</v>
      </c>
      <c r="D1" s="8" t="s">
        <v>77</v>
      </c>
      <c r="E1" s="8" t="s">
        <v>57</v>
      </c>
    </row>
    <row r="2" spans="1:5" x14ac:dyDescent="0.2">
      <c r="A2" s="3"/>
      <c r="B2" s="3" t="s">
        <v>26</v>
      </c>
      <c r="C2" s="9" t="s">
        <v>78</v>
      </c>
      <c r="D2" s="15">
        <v>1000</v>
      </c>
      <c r="E2" s="16">
        <v>0.1</v>
      </c>
    </row>
    <row r="3" spans="1:5" x14ac:dyDescent="0.2">
      <c r="A3" s="3"/>
      <c r="B3" s="3" t="s">
        <v>25</v>
      </c>
      <c r="C3" s="9" t="s">
        <v>79</v>
      </c>
      <c r="D3" s="15">
        <v>1000</v>
      </c>
      <c r="E3" s="16">
        <v>120</v>
      </c>
    </row>
    <row r="4" spans="1:5" ht="17" x14ac:dyDescent="0.2">
      <c r="A4" s="3"/>
      <c r="B4" s="3" t="s">
        <v>27</v>
      </c>
      <c r="C4" s="9" t="s">
        <v>80</v>
      </c>
      <c r="D4" s="15">
        <v>100</v>
      </c>
      <c r="E4" s="16">
        <v>0.75</v>
      </c>
    </row>
    <row r="6" spans="1:5" ht="19" x14ac:dyDescent="0.25">
      <c r="A6" s="7" t="s">
        <v>81</v>
      </c>
      <c r="B6" s="3"/>
      <c r="C6" s="3"/>
      <c r="D6" s="3"/>
    </row>
    <row r="7" spans="1:5" x14ac:dyDescent="0.2">
      <c r="A7" s="3"/>
      <c r="B7" s="3" t="s">
        <v>82</v>
      </c>
      <c r="C7" s="3"/>
      <c r="D7" s="15">
        <v>1.4999999999999999E-2</v>
      </c>
    </row>
    <row r="8" spans="1:5" x14ac:dyDescent="0.2">
      <c r="A8" s="3"/>
      <c r="B8" s="3" t="s">
        <v>83</v>
      </c>
      <c r="C8" s="3"/>
      <c r="D8" s="15">
        <v>1.5</v>
      </c>
    </row>
    <row r="9" spans="1:5" x14ac:dyDescent="0.2">
      <c r="A9" s="3"/>
      <c r="B9" s="3" t="s">
        <v>140</v>
      </c>
      <c r="C9" s="3"/>
      <c r="D9" s="15">
        <v>11</v>
      </c>
    </row>
    <row r="11" spans="1:5" ht="19" x14ac:dyDescent="0.25">
      <c r="A11" s="6" t="s">
        <v>72</v>
      </c>
      <c r="B11" s="5"/>
      <c r="C11" s="5"/>
      <c r="D11" s="5"/>
    </row>
    <row r="12" spans="1:5" x14ac:dyDescent="0.2">
      <c r="A12" s="5"/>
      <c r="B12" s="5" t="s">
        <v>73</v>
      </c>
      <c r="C12" s="5"/>
      <c r="D12" s="5">
        <v>2.83168E-2</v>
      </c>
    </row>
    <row r="13" spans="1:5" x14ac:dyDescent="0.2">
      <c r="A13" s="5"/>
      <c r="B13" s="5" t="s">
        <v>52</v>
      </c>
      <c r="C13" s="5"/>
      <c r="D13" s="5">
        <v>453.59231999999997</v>
      </c>
    </row>
    <row r="14" spans="1:5" x14ac:dyDescent="0.2">
      <c r="A14" s="5"/>
      <c r="B14" s="5" t="s">
        <v>74</v>
      </c>
      <c r="C14" s="5"/>
      <c r="D14" s="5">
        <v>264.17203999999998</v>
      </c>
    </row>
    <row r="15" spans="1:5" x14ac:dyDescent="0.2">
      <c r="A15" s="5"/>
      <c r="B15" s="5" t="s">
        <v>75</v>
      </c>
      <c r="C15" s="5"/>
      <c r="D15" s="5">
        <v>0.746</v>
      </c>
    </row>
  </sheetData>
  <sheetProtection algorithmName="SHA-512" hashValue="eqcKW1j/e1JynHTMvf8S3WAK6r9Ka/TeKgF7RNMDxnM/Zs7Whz7uFlWIE8suapZSaGce4fJZ4I0eM5iMKl7qFA==" saltValue="wcdffooLbjgetYLJx5tY+A==" spinCount="100000"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workbookViewId="0">
      <selection activeCell="F9" sqref="F9"/>
    </sheetView>
  </sheetViews>
  <sheetFormatPr baseColWidth="10" defaultColWidth="8.83203125" defaultRowHeight="15" x14ac:dyDescent="0.2"/>
  <cols>
    <col min="1" max="1" width="4.5" customWidth="1"/>
    <col min="2" max="2" width="23.5" customWidth="1"/>
    <col min="4" max="6" width="11.33203125" customWidth="1"/>
  </cols>
  <sheetData>
    <row r="1" spans="1:6" ht="21" x14ac:dyDescent="0.25">
      <c r="A1" s="118" t="s">
        <v>157</v>
      </c>
    </row>
    <row r="2" spans="1:6" ht="11.25" customHeight="1" x14ac:dyDescent="0.25">
      <c r="A2" s="118"/>
    </row>
    <row r="3" spans="1:6" ht="22" thickBot="1" x14ac:dyDescent="0.3">
      <c r="C3" s="119" t="s">
        <v>69</v>
      </c>
      <c r="D3" s="120" t="s">
        <v>158</v>
      </c>
      <c r="E3" s="120" t="s">
        <v>159</v>
      </c>
      <c r="F3" s="120" t="s">
        <v>160</v>
      </c>
    </row>
    <row r="4" spans="1:6" x14ac:dyDescent="0.2">
      <c r="B4" t="s">
        <v>68</v>
      </c>
      <c r="C4" t="s">
        <v>66</v>
      </c>
      <c r="D4" s="121">
        <v>0</v>
      </c>
      <c r="E4" s="122">
        <v>0.1</v>
      </c>
      <c r="F4" s="122">
        <v>5.5</v>
      </c>
    </row>
    <row r="5" spans="1:6" x14ac:dyDescent="0.2">
      <c r="B5" t="s">
        <v>67</v>
      </c>
      <c r="C5" t="s">
        <v>66</v>
      </c>
      <c r="D5" s="123">
        <v>0.1</v>
      </c>
      <c r="E5" s="123">
        <v>5.5</v>
      </c>
      <c r="F5" s="124">
        <v>75</v>
      </c>
    </row>
    <row r="6" spans="1:6" x14ac:dyDescent="0.2">
      <c r="B6" t="s">
        <v>65</v>
      </c>
      <c r="C6" t="s">
        <v>64</v>
      </c>
      <c r="D6" s="9">
        <v>23</v>
      </c>
      <c r="E6" s="9">
        <v>30</v>
      </c>
      <c r="F6" s="9">
        <v>86</v>
      </c>
    </row>
    <row r="7" spans="1:6" x14ac:dyDescent="0.2">
      <c r="B7" t="s">
        <v>63</v>
      </c>
      <c r="C7" t="s">
        <v>161</v>
      </c>
      <c r="D7" s="9">
        <v>1</v>
      </c>
      <c r="E7" s="9">
        <v>10</v>
      </c>
      <c r="F7" s="9">
        <v>45</v>
      </c>
    </row>
    <row r="9" spans="1:6" x14ac:dyDescent="0.2">
      <c r="B9" t="s">
        <v>61</v>
      </c>
      <c r="D9" s="125">
        <v>1</v>
      </c>
      <c r="E9" s="125">
        <v>2</v>
      </c>
      <c r="F9" s="125">
        <v>3</v>
      </c>
    </row>
    <row r="10" spans="1:6" x14ac:dyDescent="0.2">
      <c r="B10" t="s">
        <v>60</v>
      </c>
      <c r="D10" s="126">
        <v>2.9</v>
      </c>
      <c r="E10" s="126">
        <v>1.42</v>
      </c>
      <c r="F10" s="126">
        <v>2.14</v>
      </c>
    </row>
    <row r="11" spans="1:6" ht="16" thickBot="1" x14ac:dyDescent="0.25">
      <c r="B11" t="s">
        <v>59</v>
      </c>
      <c r="C11" t="s">
        <v>58</v>
      </c>
      <c r="D11" s="127">
        <v>0.28000000000000003</v>
      </c>
      <c r="E11" s="127">
        <v>0.59</v>
      </c>
      <c r="F11" s="127">
        <v>0.95</v>
      </c>
    </row>
    <row r="12" spans="1:6" ht="16" thickBot="1" x14ac:dyDescent="0.25">
      <c r="B12" t="s">
        <v>162</v>
      </c>
      <c r="C12" t="s">
        <v>163</v>
      </c>
      <c r="D12" s="153" t="s">
        <v>164</v>
      </c>
      <c r="E12" s="154"/>
      <c r="F12" s="128" t="s">
        <v>165</v>
      </c>
    </row>
    <row r="14" spans="1:6" x14ac:dyDescent="0.2">
      <c r="E14" s="129" t="s">
        <v>57</v>
      </c>
      <c r="F14" s="129"/>
    </row>
    <row r="15" spans="1:6" x14ac:dyDescent="0.2">
      <c r="B15" t="s">
        <v>56</v>
      </c>
      <c r="C15" t="s">
        <v>55</v>
      </c>
      <c r="E15" s="130">
        <v>8</v>
      </c>
      <c r="F15" s="130">
        <v>20</v>
      </c>
    </row>
    <row r="18" spans="2:6" x14ac:dyDescent="0.2">
      <c r="B18" s="131" t="s">
        <v>50</v>
      </c>
      <c r="C18" s="131" t="s">
        <v>48</v>
      </c>
      <c r="D18" s="132">
        <v>53972</v>
      </c>
      <c r="E18" s="132">
        <v>15112</v>
      </c>
      <c r="F18" s="132">
        <v>8916</v>
      </c>
    </row>
    <row r="19" spans="2:6" x14ac:dyDescent="0.2">
      <c r="B19" s="131" t="s">
        <v>49</v>
      </c>
      <c r="C19" s="131" t="s">
        <v>48</v>
      </c>
      <c r="D19" s="132">
        <v>15112</v>
      </c>
      <c r="E19" s="132">
        <v>8916</v>
      </c>
      <c r="F19" s="132">
        <v>8470</v>
      </c>
    </row>
    <row r="20" spans="2:6" x14ac:dyDescent="0.2">
      <c r="D20" s="4"/>
      <c r="E20" s="4"/>
      <c r="F20" s="4"/>
    </row>
    <row r="21" spans="2:6" x14ac:dyDescent="0.2">
      <c r="B21" s="131" t="s">
        <v>45</v>
      </c>
      <c r="C21" s="131" t="s">
        <v>46</v>
      </c>
      <c r="D21" s="133">
        <v>3</v>
      </c>
      <c r="E21" s="133">
        <v>108</v>
      </c>
      <c r="F21" s="133">
        <v>1400</v>
      </c>
    </row>
    <row r="22" spans="2:6" x14ac:dyDescent="0.2">
      <c r="B22" s="131" t="s">
        <v>44</v>
      </c>
      <c r="C22" s="131" t="s">
        <v>46</v>
      </c>
      <c r="D22" s="133">
        <v>3</v>
      </c>
      <c r="E22" s="133">
        <v>105</v>
      </c>
      <c r="F22" s="133">
        <v>1292</v>
      </c>
    </row>
    <row r="23" spans="2:6" x14ac:dyDescent="0.2">
      <c r="B23" s="131" t="s">
        <v>47</v>
      </c>
      <c r="C23" s="131" t="s">
        <v>46</v>
      </c>
      <c r="D23" s="133">
        <v>9</v>
      </c>
      <c r="E23" s="133">
        <v>150</v>
      </c>
      <c r="F23" s="133">
        <v>2765</v>
      </c>
    </row>
    <row r="25" spans="2:6" x14ac:dyDescent="0.2">
      <c r="B25" s="131" t="s">
        <v>45</v>
      </c>
      <c r="C25" s="131" t="s">
        <v>42</v>
      </c>
      <c r="D25" s="133">
        <v>1</v>
      </c>
      <c r="E25" s="133">
        <v>48</v>
      </c>
      <c r="F25" s="133">
        <v>635</v>
      </c>
    </row>
    <row r="26" spans="2:6" x14ac:dyDescent="0.2">
      <c r="B26" s="131" t="s">
        <v>44</v>
      </c>
      <c r="C26" s="131" t="s">
        <v>42</v>
      </c>
      <c r="D26" s="133">
        <v>1</v>
      </c>
      <c r="E26" s="133">
        <v>47</v>
      </c>
      <c r="F26" s="133">
        <v>586</v>
      </c>
    </row>
    <row r="27" spans="2:6" x14ac:dyDescent="0.2">
      <c r="B27" s="131" t="s">
        <v>43</v>
      </c>
      <c r="C27" s="131" t="s">
        <v>42</v>
      </c>
      <c r="D27" s="133">
        <v>5</v>
      </c>
      <c r="E27" s="133">
        <v>69</v>
      </c>
      <c r="F27" s="133">
        <v>1255</v>
      </c>
    </row>
    <row r="29" spans="2:6" x14ac:dyDescent="0.2">
      <c r="B29" s="131" t="s">
        <v>35</v>
      </c>
      <c r="C29" s="131" t="s">
        <v>166</v>
      </c>
      <c r="D29" s="133">
        <v>1</v>
      </c>
      <c r="E29" s="133">
        <v>5</v>
      </c>
      <c r="F29" s="133">
        <v>15</v>
      </c>
    </row>
    <row r="30" spans="2:6" x14ac:dyDescent="0.2">
      <c r="B30" s="131" t="s">
        <v>40</v>
      </c>
      <c r="C30" s="131" t="s">
        <v>166</v>
      </c>
      <c r="D30" s="133">
        <v>1.5</v>
      </c>
      <c r="E30" s="133">
        <v>7.5</v>
      </c>
      <c r="F30" s="133">
        <v>22.5</v>
      </c>
    </row>
    <row r="31" spans="2:6" x14ac:dyDescent="0.2">
      <c r="B31" s="131" t="s">
        <v>39</v>
      </c>
      <c r="C31" s="131" t="s">
        <v>166</v>
      </c>
      <c r="D31" s="133">
        <v>1</v>
      </c>
      <c r="E31" s="133">
        <v>4</v>
      </c>
      <c r="F31" s="133">
        <v>30</v>
      </c>
    </row>
    <row r="33" spans="1:6" x14ac:dyDescent="0.2">
      <c r="B33" s="131" t="s">
        <v>35</v>
      </c>
      <c r="C33" s="131" t="s">
        <v>34</v>
      </c>
      <c r="D33" s="133">
        <v>265</v>
      </c>
      <c r="E33" s="133">
        <v>1321</v>
      </c>
      <c r="F33" s="133">
        <v>3963</v>
      </c>
    </row>
    <row r="34" spans="1:6" x14ac:dyDescent="0.2">
      <c r="B34" s="131" t="s">
        <v>40</v>
      </c>
      <c r="C34" s="131" t="s">
        <v>34</v>
      </c>
      <c r="D34" s="133">
        <v>397</v>
      </c>
      <c r="E34" s="133">
        <v>1982</v>
      </c>
      <c r="F34" s="133">
        <v>5944</v>
      </c>
    </row>
    <row r="35" spans="1:6" x14ac:dyDescent="0.2">
      <c r="B35" s="131" t="s">
        <v>39</v>
      </c>
      <c r="C35" s="131" t="s">
        <v>34</v>
      </c>
      <c r="D35" s="133">
        <v>265</v>
      </c>
      <c r="E35" s="133">
        <v>1057</v>
      </c>
      <c r="F35" s="133">
        <v>7926</v>
      </c>
    </row>
    <row r="37" spans="1:6" x14ac:dyDescent="0.2">
      <c r="B37" s="131" t="s">
        <v>38</v>
      </c>
      <c r="C37" s="131"/>
      <c r="D37" s="133">
        <v>4530</v>
      </c>
      <c r="E37" s="133">
        <v>5909</v>
      </c>
      <c r="F37" s="133">
        <v>16938</v>
      </c>
    </row>
    <row r="39" spans="1:6" x14ac:dyDescent="0.2">
      <c r="B39" s="131" t="s">
        <v>24</v>
      </c>
      <c r="C39" s="131"/>
      <c r="D39" s="134"/>
      <c r="E39" s="134"/>
      <c r="F39" s="132">
        <v>160</v>
      </c>
    </row>
    <row r="40" spans="1:6" x14ac:dyDescent="0.2">
      <c r="B40" s="135"/>
      <c r="C40" s="135"/>
      <c r="D40" s="136"/>
      <c r="E40" s="136"/>
      <c r="F40" s="136"/>
    </row>
    <row r="42" spans="1:6" x14ac:dyDescent="0.2">
      <c r="B42" s="131" t="s">
        <v>35</v>
      </c>
      <c r="C42" s="131" t="s">
        <v>34</v>
      </c>
      <c r="D42" s="133">
        <v>265</v>
      </c>
      <c r="E42" s="133">
        <v>1321</v>
      </c>
      <c r="F42" s="133">
        <v>3963</v>
      </c>
    </row>
    <row r="44" spans="1:6" x14ac:dyDescent="0.2">
      <c r="A44" s="137" t="s">
        <v>32</v>
      </c>
    </row>
    <row r="45" spans="1:6" x14ac:dyDescent="0.2">
      <c r="B45" s="138" t="s">
        <v>29</v>
      </c>
      <c r="C45" s="138"/>
      <c r="D45" s="139">
        <v>1889</v>
      </c>
      <c r="E45" s="140">
        <v>0</v>
      </c>
      <c r="F45" s="140">
        <v>0</v>
      </c>
    </row>
    <row r="46" spans="1:6" x14ac:dyDescent="0.2">
      <c r="B46" s="138" t="s">
        <v>28</v>
      </c>
      <c r="C46" s="138"/>
      <c r="D46" s="141">
        <v>105</v>
      </c>
      <c r="E46" s="141">
        <v>325</v>
      </c>
      <c r="F46" s="141">
        <v>1770</v>
      </c>
    </row>
    <row r="47" spans="1:6" x14ac:dyDescent="0.2">
      <c r="B47" s="138" t="s">
        <v>27</v>
      </c>
      <c r="C47" s="138"/>
      <c r="D47" s="141">
        <v>0</v>
      </c>
      <c r="E47" s="141">
        <v>7</v>
      </c>
      <c r="F47" s="141">
        <v>125</v>
      </c>
    </row>
    <row r="48" spans="1:6" x14ac:dyDescent="0.2">
      <c r="B48" s="138" t="s">
        <v>26</v>
      </c>
      <c r="C48" s="138"/>
      <c r="D48" s="141">
        <v>1</v>
      </c>
      <c r="E48" s="141">
        <v>1</v>
      </c>
      <c r="F48" s="141">
        <v>1</v>
      </c>
    </row>
    <row r="49" spans="1:6" x14ac:dyDescent="0.2">
      <c r="B49" s="138" t="s">
        <v>25</v>
      </c>
      <c r="C49" s="138"/>
      <c r="D49" s="141">
        <v>544</v>
      </c>
      <c r="E49" s="141">
        <v>710</v>
      </c>
      <c r="F49" s="141">
        <v>2033</v>
      </c>
    </row>
    <row r="50" spans="1:6" x14ac:dyDescent="0.2">
      <c r="B50" s="138" t="s">
        <v>24</v>
      </c>
      <c r="C50" s="138"/>
      <c r="D50" s="142"/>
      <c r="E50" s="142"/>
      <c r="F50" s="141">
        <v>160</v>
      </c>
    </row>
    <row r="51" spans="1:6" x14ac:dyDescent="0.2">
      <c r="B51" s="143" t="s">
        <v>23</v>
      </c>
      <c r="C51" s="138"/>
      <c r="D51" s="144"/>
      <c r="E51" s="144"/>
      <c r="F51" s="144"/>
    </row>
    <row r="52" spans="1:6" x14ac:dyDescent="0.2">
      <c r="B52" s="145" t="s">
        <v>22</v>
      </c>
      <c r="D52" s="146">
        <v>2539</v>
      </c>
      <c r="E52" s="146">
        <v>1043</v>
      </c>
      <c r="F52" s="146">
        <v>4089</v>
      </c>
    </row>
    <row r="54" spans="1:6" x14ac:dyDescent="0.2">
      <c r="A54" s="137" t="s">
        <v>30</v>
      </c>
    </row>
    <row r="55" spans="1:6" x14ac:dyDescent="0.2">
      <c r="B55" s="138" t="s">
        <v>29</v>
      </c>
      <c r="C55" s="138"/>
      <c r="D55" s="147">
        <v>629.66666666666663</v>
      </c>
      <c r="E55" s="147">
        <v>0</v>
      </c>
      <c r="F55" s="147">
        <v>0</v>
      </c>
    </row>
    <row r="56" spans="1:6" x14ac:dyDescent="0.2">
      <c r="B56" s="138" t="s">
        <v>28</v>
      </c>
      <c r="C56" s="138"/>
      <c r="D56" s="147">
        <v>35</v>
      </c>
      <c r="E56" s="147">
        <v>3.0092592592592591</v>
      </c>
      <c r="F56" s="147">
        <v>1.2642857142857142</v>
      </c>
    </row>
    <row r="57" spans="1:6" x14ac:dyDescent="0.2">
      <c r="B57" s="138" t="s">
        <v>27</v>
      </c>
      <c r="C57" s="138"/>
      <c r="D57" s="147">
        <v>0</v>
      </c>
      <c r="E57" s="147">
        <v>6.4814814814814811E-2</v>
      </c>
      <c r="F57" s="147">
        <v>8.9285714285714288E-2</v>
      </c>
    </row>
    <row r="58" spans="1:6" x14ac:dyDescent="0.2">
      <c r="B58" s="138" t="s">
        <v>26</v>
      </c>
      <c r="C58" s="138"/>
      <c r="D58" s="147">
        <v>0.33333333333333331</v>
      </c>
      <c r="E58" s="147">
        <v>9.2592592592592587E-3</v>
      </c>
      <c r="F58" s="147">
        <v>7.1428571428571429E-4</v>
      </c>
    </row>
    <row r="59" spans="1:6" x14ac:dyDescent="0.2">
      <c r="B59" s="138" t="s">
        <v>25</v>
      </c>
      <c r="C59" s="138"/>
      <c r="D59" s="147">
        <v>181.33333333333334</v>
      </c>
      <c r="E59" s="147">
        <v>6.5740740740740744</v>
      </c>
      <c r="F59" s="147">
        <v>1.4521428571428572</v>
      </c>
    </row>
    <row r="60" spans="1:6" x14ac:dyDescent="0.2">
      <c r="B60" s="138" t="s">
        <v>24</v>
      </c>
      <c r="C60" s="138"/>
      <c r="D60" s="142"/>
      <c r="E60" s="142"/>
      <c r="F60" s="147">
        <v>0.11428571428571428</v>
      </c>
    </row>
    <row r="61" spans="1:6" x14ac:dyDescent="0.2">
      <c r="B61" s="143" t="s">
        <v>23</v>
      </c>
      <c r="C61" s="138"/>
      <c r="D61" s="144"/>
      <c r="E61" s="144"/>
      <c r="F61" s="144"/>
    </row>
    <row r="63" spans="1:6" ht="16" thickBot="1" x14ac:dyDescent="0.25"/>
    <row r="64" spans="1:6" ht="16" thickBot="1" x14ac:dyDescent="0.25">
      <c r="B64" s="3" t="s">
        <v>167</v>
      </c>
      <c r="C64" s="3"/>
      <c r="D64" s="3"/>
      <c r="E64" s="3"/>
      <c r="F64" s="148">
        <f>SUM(D52:F52)/F19</f>
        <v>0.90566706021251475</v>
      </c>
    </row>
    <row r="65" spans="2:6" x14ac:dyDescent="0.2">
      <c r="B65" s="137" t="s">
        <v>168</v>
      </c>
      <c r="C65" s="137"/>
      <c r="D65" s="137"/>
      <c r="E65" s="137"/>
      <c r="F65" s="137"/>
    </row>
  </sheetData>
  <sheetProtection algorithmName="SHA-512" hashValue="Bd2eKEXrfCEPUlKlS8w8LZQSsDIH6E2d6kJwSd3sa6JMdBE+CwifjTuCYOmJx7HhMHZV7UMkRfZH682KD+5Uxw==" saltValue="b34U/UgNjzvbRjPql5wuhw==" spinCount="100000" sheet="1" objects="1" scenarios="1"/>
  <mergeCells count="1">
    <mergeCell ref="D12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9"/>
  <sheetViews>
    <sheetView tabSelected="1" zoomScaleNormal="100" workbookViewId="0">
      <pane ySplit="4" topLeftCell="A5" activePane="bottomLeft" state="frozen"/>
      <selection pane="bottomLeft" activeCell="D5" sqref="D5"/>
    </sheetView>
  </sheetViews>
  <sheetFormatPr baseColWidth="10" defaultColWidth="9.1640625" defaultRowHeight="15" x14ac:dyDescent="0.2"/>
  <cols>
    <col min="1" max="1" width="9.33203125" style="44" customWidth="1"/>
    <col min="2" max="2" width="32.33203125" style="44" customWidth="1"/>
    <col min="3" max="3" width="11.1640625" style="44" customWidth="1"/>
    <col min="4" max="4" width="12.33203125" style="44" customWidth="1"/>
    <col min="5" max="5" width="11.33203125" style="44" customWidth="1"/>
    <col min="6" max="7" width="13.33203125" style="44" bestFit="1" customWidth="1"/>
    <col min="8" max="8" width="6.5" style="44" customWidth="1"/>
    <col min="9" max="9" width="52.5" style="111" customWidth="1"/>
    <col min="10" max="16384" width="9.1640625" style="44"/>
  </cols>
  <sheetData>
    <row r="1" spans="1:11" ht="75.75" customHeight="1" x14ac:dyDescent="0.25">
      <c r="B1" s="155" t="s">
        <v>170</v>
      </c>
      <c r="C1" s="155"/>
      <c r="D1" s="155"/>
      <c r="E1" s="155"/>
      <c r="F1" s="155"/>
      <c r="G1" s="155"/>
    </row>
    <row r="2" spans="1:11" ht="19" x14ac:dyDescent="0.25">
      <c r="A2" s="60" t="s">
        <v>142</v>
      </c>
      <c r="B2" s="61"/>
      <c r="C2" s="61"/>
      <c r="D2" s="61"/>
      <c r="E2" s="61"/>
      <c r="F2" s="61"/>
      <c r="G2" s="61"/>
      <c r="H2" s="110"/>
      <c r="I2" s="112"/>
      <c r="J2" s="62"/>
      <c r="K2" s="62"/>
    </row>
    <row r="3" spans="1:11" ht="26" x14ac:dyDescent="0.3">
      <c r="A3" s="63" t="s">
        <v>70</v>
      </c>
      <c r="D3" s="156" t="s">
        <v>133</v>
      </c>
      <c r="E3" s="156"/>
      <c r="F3" s="156"/>
      <c r="G3" s="156"/>
    </row>
    <row r="4" spans="1:11" ht="22" thickBot="1" x14ac:dyDescent="0.3">
      <c r="C4" s="65" t="s">
        <v>69</v>
      </c>
      <c r="D4" s="64" t="s">
        <v>71</v>
      </c>
      <c r="E4" s="64" t="s">
        <v>88</v>
      </c>
      <c r="F4" s="64" t="s">
        <v>89</v>
      </c>
      <c r="G4" s="64" t="s">
        <v>90</v>
      </c>
      <c r="K4" s="66"/>
    </row>
    <row r="5" spans="1:11" ht="16" x14ac:dyDescent="0.2">
      <c r="A5" s="67" t="s">
        <v>124</v>
      </c>
      <c r="B5" s="68" t="s">
        <v>139</v>
      </c>
      <c r="C5" s="69" t="s">
        <v>48</v>
      </c>
      <c r="D5" s="18">
        <v>0.905667</v>
      </c>
      <c r="E5" s="18">
        <v>0.905667</v>
      </c>
      <c r="F5" s="18">
        <v>0.905667</v>
      </c>
      <c r="G5" s="19">
        <v>0.905667</v>
      </c>
      <c r="I5" s="111" t="s">
        <v>169</v>
      </c>
    </row>
    <row r="6" spans="1:11" ht="15.75" customHeight="1" x14ac:dyDescent="0.3">
      <c r="A6" s="63"/>
      <c r="B6" s="70" t="s">
        <v>85</v>
      </c>
      <c r="C6" s="71" t="s">
        <v>36</v>
      </c>
      <c r="D6" s="16">
        <v>0.64</v>
      </c>
      <c r="E6" s="16">
        <v>0.64</v>
      </c>
      <c r="F6" s="16">
        <v>0.64</v>
      </c>
      <c r="G6" s="20">
        <f>0.64*0.8</f>
        <v>0.51200000000000001</v>
      </c>
      <c r="I6" s="113"/>
    </row>
    <row r="7" spans="1:11" ht="15" customHeight="1" x14ac:dyDescent="0.3">
      <c r="A7" s="63"/>
      <c r="B7" s="70" t="s">
        <v>141</v>
      </c>
      <c r="C7" s="71" t="s">
        <v>51</v>
      </c>
      <c r="D7" s="17">
        <v>60000</v>
      </c>
      <c r="E7" s="17">
        <v>60000</v>
      </c>
      <c r="F7" s="17">
        <v>60000</v>
      </c>
      <c r="G7" s="17">
        <v>60000</v>
      </c>
      <c r="I7" s="113"/>
    </row>
    <row r="8" spans="1:11" ht="15" customHeight="1" x14ac:dyDescent="0.3">
      <c r="A8" s="63"/>
      <c r="B8" s="70" t="s">
        <v>24</v>
      </c>
      <c r="C8" s="71" t="s">
        <v>86</v>
      </c>
      <c r="D8" s="16">
        <v>8</v>
      </c>
      <c r="E8" s="16">
        <v>8</v>
      </c>
      <c r="F8" s="16">
        <v>8</v>
      </c>
      <c r="G8" s="20">
        <v>8</v>
      </c>
    </row>
    <row r="9" spans="1:11" ht="15" customHeight="1" thickBot="1" x14ac:dyDescent="0.35">
      <c r="A9" s="63"/>
      <c r="B9" s="72" t="s">
        <v>87</v>
      </c>
      <c r="C9" s="73" t="s">
        <v>86</v>
      </c>
      <c r="D9" s="21">
        <v>10</v>
      </c>
      <c r="E9" s="21">
        <v>10</v>
      </c>
      <c r="F9" s="21">
        <v>10</v>
      </c>
      <c r="G9" s="22">
        <v>10</v>
      </c>
    </row>
    <row r="10" spans="1:11" ht="15" customHeight="1" thickBot="1" x14ac:dyDescent="0.35">
      <c r="A10" s="63"/>
    </row>
    <row r="11" spans="1:11" x14ac:dyDescent="0.2">
      <c r="A11" s="67" t="s">
        <v>125</v>
      </c>
      <c r="B11" s="68" t="s">
        <v>68</v>
      </c>
      <c r="C11" s="69" t="s">
        <v>66</v>
      </c>
      <c r="D11" s="56">
        <v>75</v>
      </c>
      <c r="E11" s="56">
        <v>75</v>
      </c>
      <c r="F11" s="56">
        <v>75</v>
      </c>
      <c r="G11" s="57">
        <v>75</v>
      </c>
    </row>
    <row r="12" spans="1:11" x14ac:dyDescent="0.2">
      <c r="B12" s="70" t="s">
        <v>67</v>
      </c>
      <c r="C12" s="71" t="s">
        <v>66</v>
      </c>
      <c r="D12" s="23">
        <v>680</v>
      </c>
      <c r="E12" s="23">
        <v>680</v>
      </c>
      <c r="F12" s="23">
        <v>680</v>
      </c>
      <c r="G12" s="24">
        <v>680</v>
      </c>
    </row>
    <row r="13" spans="1:11" x14ac:dyDescent="0.2">
      <c r="B13" s="70" t="s">
        <v>65</v>
      </c>
      <c r="C13" s="71" t="s">
        <v>64</v>
      </c>
      <c r="D13" s="15">
        <v>240</v>
      </c>
      <c r="E13" s="15">
        <v>240</v>
      </c>
      <c r="F13" s="15">
        <v>240</v>
      </c>
      <c r="G13" s="25">
        <v>240</v>
      </c>
    </row>
    <row r="14" spans="1:11" ht="15" customHeight="1" thickBot="1" x14ac:dyDescent="0.25">
      <c r="B14" s="72" t="s">
        <v>63</v>
      </c>
      <c r="C14" s="73" t="s">
        <v>62</v>
      </c>
      <c r="D14" s="26">
        <v>45</v>
      </c>
      <c r="E14" s="26">
        <v>45</v>
      </c>
      <c r="F14" s="26">
        <v>45</v>
      </c>
      <c r="G14" s="27">
        <v>45</v>
      </c>
    </row>
    <row r="15" spans="1:11" ht="16" thickBot="1" x14ac:dyDescent="0.25"/>
    <row r="16" spans="1:11" x14ac:dyDescent="0.2">
      <c r="B16" s="68" t="s">
        <v>61</v>
      </c>
      <c r="C16" s="69"/>
      <c r="D16" s="28">
        <v>3</v>
      </c>
      <c r="E16" s="28">
        <v>3</v>
      </c>
      <c r="F16" s="28">
        <v>3</v>
      </c>
      <c r="G16" s="29">
        <v>3</v>
      </c>
    </row>
    <row r="17" spans="1:7" x14ac:dyDescent="0.2">
      <c r="B17" s="70" t="s">
        <v>60</v>
      </c>
      <c r="C17" s="71"/>
      <c r="D17" s="30">
        <v>3.74</v>
      </c>
      <c r="E17" s="30">
        <v>3.74</v>
      </c>
      <c r="F17" s="30">
        <v>3.74</v>
      </c>
      <c r="G17" s="31">
        <v>3.74</v>
      </c>
    </row>
    <row r="18" spans="1:7" ht="16" thickBot="1" x14ac:dyDescent="0.25">
      <c r="B18" s="72" t="s">
        <v>59</v>
      </c>
      <c r="C18" s="73" t="s">
        <v>58</v>
      </c>
      <c r="D18" s="32">
        <v>0.63</v>
      </c>
      <c r="E18" s="32">
        <v>0.63</v>
      </c>
      <c r="F18" s="32">
        <v>0.63</v>
      </c>
      <c r="G18" s="33">
        <v>0.63</v>
      </c>
    </row>
    <row r="19" spans="1:7" ht="16" thickBot="1" x14ac:dyDescent="0.25"/>
    <row r="20" spans="1:7" x14ac:dyDescent="0.2">
      <c r="A20" s="67" t="s">
        <v>126</v>
      </c>
      <c r="B20" s="68" t="s">
        <v>56</v>
      </c>
      <c r="C20" s="69" t="s">
        <v>55</v>
      </c>
      <c r="D20" s="34">
        <v>40</v>
      </c>
      <c r="E20" s="34">
        <v>40</v>
      </c>
      <c r="F20" s="34">
        <v>40</v>
      </c>
      <c r="G20" s="35">
        <v>40</v>
      </c>
    </row>
    <row r="21" spans="1:7" ht="16" thickBot="1" x14ac:dyDescent="0.25">
      <c r="B21" s="72" t="s">
        <v>54</v>
      </c>
      <c r="C21" s="73" t="s">
        <v>53</v>
      </c>
      <c r="D21" s="36">
        <v>2</v>
      </c>
      <c r="E21" s="36">
        <v>2</v>
      </c>
      <c r="F21" s="36">
        <v>2</v>
      </c>
      <c r="G21" s="37">
        <v>2</v>
      </c>
    </row>
    <row r="22" spans="1:7" ht="16" thickBot="1" x14ac:dyDescent="0.25">
      <c r="B22" s="71"/>
      <c r="C22" s="71"/>
      <c r="D22"/>
      <c r="E22"/>
      <c r="F22"/>
      <c r="G22"/>
    </row>
    <row r="23" spans="1:7" ht="16" thickBot="1" x14ac:dyDescent="0.25">
      <c r="A23" s="67" t="s">
        <v>117</v>
      </c>
      <c r="B23" s="149" t="s">
        <v>37</v>
      </c>
      <c r="C23" s="150" t="s">
        <v>36</v>
      </c>
      <c r="D23" s="151">
        <v>7</v>
      </c>
      <c r="E23" s="151">
        <v>7</v>
      </c>
      <c r="F23" s="151">
        <v>6</v>
      </c>
      <c r="G23" s="152">
        <v>5.25</v>
      </c>
    </row>
    <row r="24" spans="1:7" x14ac:dyDescent="0.2">
      <c r="B24" s="80"/>
      <c r="C24" s="80"/>
      <c r="D24" s="81"/>
      <c r="G24" s="44" t="s">
        <v>134</v>
      </c>
    </row>
    <row r="26" spans="1:7" x14ac:dyDescent="0.2">
      <c r="A26" s="116" t="s">
        <v>154</v>
      </c>
      <c r="B26" s="67" t="s">
        <v>151</v>
      </c>
      <c r="C26" s="44" t="s">
        <v>36</v>
      </c>
      <c r="D26" s="59">
        <v>8000</v>
      </c>
      <c r="E26" s="59">
        <v>8000</v>
      </c>
      <c r="F26" s="59">
        <v>8000</v>
      </c>
      <c r="G26" s="59">
        <v>8000</v>
      </c>
    </row>
    <row r="27" spans="1:7" x14ac:dyDescent="0.2">
      <c r="A27" s="116"/>
      <c r="B27" s="74" t="s">
        <v>91</v>
      </c>
      <c r="C27" s="74" t="s">
        <v>36</v>
      </c>
      <c r="D27" s="75">
        <f>D26*12</f>
        <v>96000</v>
      </c>
      <c r="E27" s="75">
        <f t="shared" ref="E27:G27" si="0">E26*12</f>
        <v>96000</v>
      </c>
      <c r="F27" s="75">
        <f t="shared" si="0"/>
        <v>96000</v>
      </c>
      <c r="G27" s="75">
        <f t="shared" si="0"/>
        <v>96000</v>
      </c>
    </row>
    <row r="29" spans="1:7" x14ac:dyDescent="0.2">
      <c r="B29" s="76" t="s">
        <v>50</v>
      </c>
      <c r="C29" s="76" t="s">
        <v>48</v>
      </c>
      <c r="D29" s="77">
        <f>CEILING(D30/D18,1)</f>
        <v>8470</v>
      </c>
      <c r="E29" s="77">
        <f>CEILING(E30/E18,1)</f>
        <v>8470</v>
      </c>
      <c r="F29" s="77">
        <f>CEILING(F30/F18,1)</f>
        <v>8470</v>
      </c>
      <c r="G29" s="77">
        <f>CEILING(G30/G18,1)</f>
        <v>8470</v>
      </c>
    </row>
    <row r="30" spans="1:7" x14ac:dyDescent="0.2">
      <c r="B30" s="76" t="s">
        <v>49</v>
      </c>
      <c r="C30" s="76" t="s">
        <v>48</v>
      </c>
      <c r="D30" s="77">
        <f>CEILING(D36*1000/D12,1)</f>
        <v>5336</v>
      </c>
      <c r="E30" s="77">
        <f>CEILING(E36*1000/E12,1)</f>
        <v>5336</v>
      </c>
      <c r="F30" s="77">
        <f>CEILING(F36*1000/F12,1)</f>
        <v>5336</v>
      </c>
      <c r="G30" s="77">
        <f>CEILING(G36*1000/G12,1)</f>
        <v>5336</v>
      </c>
    </row>
    <row r="31" spans="1:7" x14ac:dyDescent="0.2">
      <c r="D31" s="78"/>
    </row>
    <row r="32" spans="1:7" x14ac:dyDescent="0.2">
      <c r="B32" s="76" t="s">
        <v>45</v>
      </c>
      <c r="C32" s="76" t="s">
        <v>46</v>
      </c>
      <c r="D32" s="79">
        <f>D26</f>
        <v>8000</v>
      </c>
      <c r="E32" s="79">
        <f t="shared" ref="E32:G32" si="1">E26</f>
        <v>8000</v>
      </c>
      <c r="F32" s="79">
        <f t="shared" si="1"/>
        <v>8000</v>
      </c>
      <c r="G32" s="79">
        <f t="shared" si="1"/>
        <v>8000</v>
      </c>
    </row>
    <row r="33" spans="2:9" x14ac:dyDescent="0.2">
      <c r="B33" s="76" t="s">
        <v>44</v>
      </c>
      <c r="C33" s="76" t="s">
        <v>46</v>
      </c>
      <c r="D33" s="79">
        <f>CEILING((D32-(D29*D11)/'General Parameters'!$D$13),1)</f>
        <v>6600</v>
      </c>
      <c r="E33" s="79">
        <f>CEILING((E32-(E29*E11)/'General Parameters'!$D$13),1)</f>
        <v>6600</v>
      </c>
      <c r="F33" s="79">
        <f>CEILING((F32-(F29*F11)/'General Parameters'!$D$13),1)</f>
        <v>6600</v>
      </c>
      <c r="G33" s="79">
        <f>CEILING((G32-(G29*G11)/'General Parameters'!$D$13),1)</f>
        <v>6600</v>
      </c>
    </row>
    <row r="34" spans="2:9" x14ac:dyDescent="0.2">
      <c r="B34" s="76" t="s">
        <v>47</v>
      </c>
      <c r="C34" s="76" t="s">
        <v>46</v>
      </c>
      <c r="D34" s="79">
        <f>CEILING((D33*D17),1)</f>
        <v>24684</v>
      </c>
      <c r="E34" s="79">
        <f>CEILING((E33*E17),1)</f>
        <v>24684</v>
      </c>
      <c r="F34" s="79">
        <f>CEILING((F33*F17),1)</f>
        <v>24684</v>
      </c>
      <c r="G34" s="79">
        <f>CEILING((G33*G17),1)</f>
        <v>24684</v>
      </c>
    </row>
    <row r="36" spans="2:9" x14ac:dyDescent="0.2">
      <c r="B36" s="76" t="s">
        <v>45</v>
      </c>
      <c r="C36" s="76" t="s">
        <v>42</v>
      </c>
      <c r="D36" s="77">
        <f>FLOOR(D32*'General Parameters'!$D$13/1000,1)</f>
        <v>3628</v>
      </c>
      <c r="E36" s="77">
        <f>FLOOR(E32*'General Parameters'!$D$13/1000,1)</f>
        <v>3628</v>
      </c>
      <c r="F36" s="77">
        <f>FLOOR(F32*'General Parameters'!$D$13/1000,1)</f>
        <v>3628</v>
      </c>
      <c r="G36" s="77">
        <f>FLOOR(G32*'General Parameters'!$D$13/1000,1)</f>
        <v>3628</v>
      </c>
    </row>
    <row r="37" spans="2:9" x14ac:dyDescent="0.2">
      <c r="B37" s="76" t="s">
        <v>44</v>
      </c>
      <c r="C37" s="76" t="s">
        <v>42</v>
      </c>
      <c r="D37" s="79">
        <f>FLOOR(D33*'General Parameters'!$D$13/1000,1)</f>
        <v>2993</v>
      </c>
      <c r="E37" s="79">
        <f>FLOOR(E33*'General Parameters'!$D$13/1000,1)</f>
        <v>2993</v>
      </c>
      <c r="F37" s="79">
        <f>FLOOR(F33*'General Parameters'!$D$13/1000,1)</f>
        <v>2993</v>
      </c>
      <c r="G37" s="79">
        <f>FLOOR(G33*'General Parameters'!$D$13/1000,1)</f>
        <v>2993</v>
      </c>
    </row>
    <row r="38" spans="2:9" x14ac:dyDescent="0.2">
      <c r="B38" s="76" t="s">
        <v>43</v>
      </c>
      <c r="C38" s="76" t="s">
        <v>42</v>
      </c>
      <c r="D38" s="79">
        <f>CEILING(D34*'General Parameters'!$D$13/1000,1)</f>
        <v>11197</v>
      </c>
      <c r="E38" s="79">
        <f>CEILING(E34*'General Parameters'!$D$13/1000,1)</f>
        <v>11197</v>
      </c>
      <c r="F38" s="79">
        <f>CEILING(F34*'General Parameters'!$D$13/1000,1)</f>
        <v>11197</v>
      </c>
      <c r="G38" s="79">
        <f>CEILING(G34*'General Parameters'!$D$13/1000,1)</f>
        <v>11197</v>
      </c>
    </row>
    <row r="40" spans="2:9" ht="17" x14ac:dyDescent="0.2">
      <c r="B40" s="76" t="s">
        <v>35</v>
      </c>
      <c r="C40" s="76" t="s">
        <v>41</v>
      </c>
      <c r="D40" s="79">
        <f>CEILING(D36/D14,1)</f>
        <v>81</v>
      </c>
      <c r="E40" s="79">
        <f>CEILING(E36/E14,1)</f>
        <v>81</v>
      </c>
      <c r="F40" s="79">
        <f>CEILING(F36/F14,1)</f>
        <v>81</v>
      </c>
      <c r="G40" s="79">
        <f>CEILING(G36/G14,1)</f>
        <v>81</v>
      </c>
    </row>
    <row r="41" spans="2:9" ht="17" x14ac:dyDescent="0.2">
      <c r="B41" s="76" t="s">
        <v>40</v>
      </c>
      <c r="C41" s="76" t="s">
        <v>41</v>
      </c>
      <c r="D41" s="79">
        <f>CEILING(D40*'General Parameters'!$D$8,1)</f>
        <v>122</v>
      </c>
      <c r="E41" s="79">
        <f>CEILING(E40*'General Parameters'!$D$8,1)</f>
        <v>122</v>
      </c>
      <c r="F41" s="79">
        <f>CEILING(F40*'General Parameters'!$D$8,1)</f>
        <v>122</v>
      </c>
      <c r="G41" s="79">
        <f>CEILING(G40*'General Parameters'!$D$8,1)</f>
        <v>122</v>
      </c>
    </row>
    <row r="42" spans="2:9" ht="17" x14ac:dyDescent="0.2">
      <c r="B42" s="76" t="s">
        <v>39</v>
      </c>
      <c r="C42" s="76" t="s">
        <v>41</v>
      </c>
      <c r="D42" s="79">
        <f>CEILING(D41*'General Parameters'!$D$7*D13,1)</f>
        <v>440</v>
      </c>
      <c r="E42" s="79">
        <f>CEILING(E41*'General Parameters'!$D$7*' Summary Model Stage 4'!E13,1)</f>
        <v>440</v>
      </c>
      <c r="F42" s="79">
        <f>CEILING(F41*'General Parameters'!$D$7*' Summary Model Stage 4'!F13,1)</f>
        <v>440</v>
      </c>
      <c r="G42" s="79">
        <f>CEILING(G41*'General Parameters'!$D$7*' Summary Model Stage 4'!G13,1)</f>
        <v>440</v>
      </c>
    </row>
    <row r="44" spans="2:9" ht="66" customHeight="1" x14ac:dyDescent="0.2">
      <c r="B44" s="76" t="s">
        <v>35</v>
      </c>
      <c r="C44" s="76" t="s">
        <v>34</v>
      </c>
      <c r="D44" s="79">
        <f>CEILING(D40*'General Parameters'!$D$14,1)</f>
        <v>21398</v>
      </c>
      <c r="E44" s="79">
        <f>CEILING(E40*'General Parameters'!$D$14,1)</f>
        <v>21398</v>
      </c>
      <c r="F44" s="79">
        <f>CEILING(F40*'General Parameters'!$D$14,1)</f>
        <v>21398</v>
      </c>
      <c r="G44" s="79">
        <f>CEILING(G40*'General Parameters'!$D$14,1)</f>
        <v>21398</v>
      </c>
      <c r="I44" s="111" t="s">
        <v>152</v>
      </c>
    </row>
    <row r="45" spans="2:9" x14ac:dyDescent="0.2">
      <c r="B45" s="76" t="s">
        <v>40</v>
      </c>
      <c r="C45" s="76" t="s">
        <v>34</v>
      </c>
      <c r="D45" s="79">
        <f>CEILING(D41*'General Parameters'!$D$14,1)</f>
        <v>32229</v>
      </c>
      <c r="E45" s="79">
        <f>CEILING(E41*'General Parameters'!$D$14,1)</f>
        <v>32229</v>
      </c>
      <c r="F45" s="79">
        <f>CEILING(F41*'General Parameters'!$D$14,1)</f>
        <v>32229</v>
      </c>
      <c r="G45" s="79">
        <f>CEILING(G41*'General Parameters'!$D$14,1)</f>
        <v>32229</v>
      </c>
    </row>
    <row r="46" spans="2:9" x14ac:dyDescent="0.2">
      <c r="B46" s="76" t="s">
        <v>39</v>
      </c>
      <c r="C46" s="76" t="s">
        <v>34</v>
      </c>
      <c r="D46" s="79">
        <f>CEILING(D42*'General Parameters'!$D$14,1)</f>
        <v>116236</v>
      </c>
      <c r="E46" s="79">
        <f>CEILING(E42*'General Parameters'!$D$14,1)</f>
        <v>116236</v>
      </c>
      <c r="F46" s="79">
        <f>CEILING(F42*'General Parameters'!$D$14,1)</f>
        <v>116236</v>
      </c>
      <c r="G46" s="79">
        <f>CEILING(G42*'General Parameters'!$D$14,1)</f>
        <v>116236</v>
      </c>
    </row>
    <row r="48" spans="2:9" x14ac:dyDescent="0.2">
      <c r="B48" s="76" t="s">
        <v>38</v>
      </c>
      <c r="C48" s="76"/>
      <c r="D48" s="79">
        <f>CEILING('General Parameters'!$D$9*24*D13*'General Parameters'!$D$15,1)</f>
        <v>47267</v>
      </c>
      <c r="E48" s="79">
        <f>CEILING('General Parameters'!$D$9*24*E13*'General Parameters'!$D$15,1)</f>
        <v>47267</v>
      </c>
      <c r="F48" s="79">
        <f>CEILING('General Parameters'!$D$9*24*F13*'General Parameters'!$D$15,1)</f>
        <v>47267</v>
      </c>
      <c r="G48" s="79">
        <f>CEILING('General Parameters'!$D$9*24*G13*'General Parameters'!$D$15,1)</f>
        <v>47267</v>
      </c>
    </row>
    <row r="50" spans="1:9" x14ac:dyDescent="0.2">
      <c r="B50" s="76" t="s">
        <v>24</v>
      </c>
      <c r="C50" s="76"/>
      <c r="D50" s="77">
        <f>D20*D8</f>
        <v>320</v>
      </c>
      <c r="E50" s="77">
        <f>E20*E8</f>
        <v>320</v>
      </c>
      <c r="F50" s="77">
        <f>F20*F8</f>
        <v>320</v>
      </c>
      <c r="G50" s="77">
        <f>G20*G8</f>
        <v>320</v>
      </c>
    </row>
    <row r="51" spans="1:9" x14ac:dyDescent="0.2">
      <c r="B51" s="80"/>
      <c r="C51" s="80"/>
      <c r="D51" s="81"/>
    </row>
    <row r="52" spans="1:9" x14ac:dyDescent="0.2">
      <c r="A52" s="67" t="s">
        <v>144</v>
      </c>
      <c r="B52" s="80"/>
      <c r="C52" s="80"/>
      <c r="D52" s="81"/>
    </row>
    <row r="53" spans="1:9" ht="48" x14ac:dyDescent="0.2">
      <c r="B53" s="44" t="s">
        <v>143</v>
      </c>
      <c r="D53" s="59">
        <v>20168</v>
      </c>
      <c r="E53" s="59">
        <v>20168</v>
      </c>
      <c r="F53" s="59">
        <v>20168</v>
      </c>
      <c r="G53" s="59">
        <v>20168</v>
      </c>
      <c r="I53" s="111" t="s">
        <v>145</v>
      </c>
    </row>
    <row r="54" spans="1:9" ht="48" x14ac:dyDescent="0.2">
      <c r="B54" s="44" t="s">
        <v>33</v>
      </c>
      <c r="D54" s="59">
        <v>1242500</v>
      </c>
      <c r="E54" s="59">
        <v>1242500</v>
      </c>
      <c r="F54" s="59">
        <v>1242500</v>
      </c>
      <c r="G54" s="59">
        <v>1242500</v>
      </c>
      <c r="I54" s="111" t="s">
        <v>146</v>
      </c>
    </row>
    <row r="56" spans="1:9" ht="16" thickBot="1" x14ac:dyDescent="0.25">
      <c r="B56" s="44" t="s">
        <v>147</v>
      </c>
      <c r="C56" s="44" t="s">
        <v>93</v>
      </c>
      <c r="D56" s="83">
        <f>-CEILING(PMT(D$60/12,D$61*12,(D$54*D$59)),1)</f>
        <v>10345</v>
      </c>
      <c r="E56" s="83">
        <f t="shared" ref="E56:G56" si="2">-CEILING(PMT(E$60/12,E$61*12,(E$54*E$59)),1)</f>
        <v>10345</v>
      </c>
      <c r="F56" s="83">
        <f t="shared" si="2"/>
        <v>10345</v>
      </c>
      <c r="G56" s="83">
        <f t="shared" si="2"/>
        <v>10345</v>
      </c>
      <c r="I56" s="114"/>
    </row>
    <row r="57" spans="1:9" ht="16" thickTop="1" x14ac:dyDescent="0.2">
      <c r="A57" s="82"/>
    </row>
    <row r="58" spans="1:9" ht="24" x14ac:dyDescent="0.3">
      <c r="A58" s="84" t="s">
        <v>12</v>
      </c>
    </row>
    <row r="59" spans="1:9" x14ac:dyDescent="0.2">
      <c r="B59" s="44" t="s">
        <v>110</v>
      </c>
      <c r="D59" s="38">
        <v>0.75</v>
      </c>
      <c r="E59" s="38">
        <v>0.75</v>
      </c>
      <c r="F59" s="38">
        <v>0.75</v>
      </c>
      <c r="G59" s="38">
        <v>0.75</v>
      </c>
    </row>
    <row r="60" spans="1:9" x14ac:dyDescent="0.2">
      <c r="B60" s="44" t="s">
        <v>11</v>
      </c>
      <c r="D60" s="38">
        <v>0.06</v>
      </c>
      <c r="E60" s="38">
        <v>0.06</v>
      </c>
      <c r="F60" s="38">
        <v>0.06</v>
      </c>
      <c r="G60" s="38">
        <v>0.06</v>
      </c>
    </row>
    <row r="61" spans="1:9" x14ac:dyDescent="0.2">
      <c r="B61" s="44" t="s">
        <v>10</v>
      </c>
      <c r="C61" s="44" t="s">
        <v>9</v>
      </c>
      <c r="D61" s="15">
        <v>10</v>
      </c>
      <c r="E61" s="15">
        <v>10</v>
      </c>
      <c r="F61" s="15">
        <v>10</v>
      </c>
      <c r="G61" s="15">
        <v>10</v>
      </c>
    </row>
    <row r="63" spans="1:9" x14ac:dyDescent="0.2">
      <c r="B63" s="44" t="s">
        <v>148</v>
      </c>
      <c r="D63" s="38">
        <v>0.75</v>
      </c>
      <c r="E63" s="38">
        <v>0.75</v>
      </c>
      <c r="F63" s="38">
        <v>0.75</v>
      </c>
      <c r="G63" s="38">
        <v>0.75</v>
      </c>
    </row>
    <row r="64" spans="1:9" x14ac:dyDescent="0.2">
      <c r="B64" s="44" t="s">
        <v>149</v>
      </c>
      <c r="D64" s="38">
        <v>0.05</v>
      </c>
      <c r="E64" s="38">
        <v>0.05</v>
      </c>
      <c r="F64" s="38">
        <v>0.05</v>
      </c>
      <c r="G64" s="38">
        <v>0.05</v>
      </c>
    </row>
    <row r="65" spans="1:7" x14ac:dyDescent="0.2">
      <c r="B65" s="44" t="s">
        <v>150</v>
      </c>
      <c r="C65" s="44" t="s">
        <v>9</v>
      </c>
      <c r="D65" s="15">
        <v>20</v>
      </c>
      <c r="E65" s="15">
        <v>20</v>
      </c>
      <c r="F65" s="15">
        <v>20</v>
      </c>
      <c r="G65" s="15">
        <v>20</v>
      </c>
    </row>
    <row r="67" spans="1:7" ht="24" x14ac:dyDescent="0.3">
      <c r="A67" s="84" t="s">
        <v>102</v>
      </c>
    </row>
    <row r="68" spans="1:7" x14ac:dyDescent="0.2">
      <c r="B68" s="44" t="s">
        <v>101</v>
      </c>
      <c r="C68" s="44" t="s">
        <v>5</v>
      </c>
      <c r="D68" s="15">
        <v>0.7</v>
      </c>
      <c r="E68" s="15">
        <v>0.7</v>
      </c>
      <c r="F68" s="15">
        <v>0.7</v>
      </c>
      <c r="G68" s="15">
        <v>0.7</v>
      </c>
    </row>
    <row r="69" spans="1:7" x14ac:dyDescent="0.2">
      <c r="B69" s="44" t="s">
        <v>105</v>
      </c>
      <c r="C69" s="44" t="s">
        <v>103</v>
      </c>
      <c r="D69" s="17">
        <v>7000</v>
      </c>
      <c r="E69" s="17">
        <v>7000</v>
      </c>
      <c r="F69" s="17">
        <v>7000</v>
      </c>
      <c r="G69" s="17">
        <v>7000</v>
      </c>
    </row>
    <row r="70" spans="1:7" x14ac:dyDescent="0.2">
      <c r="B70" s="44" t="s">
        <v>104</v>
      </c>
      <c r="C70" s="44" t="s">
        <v>106</v>
      </c>
      <c r="D70" s="17">
        <v>18</v>
      </c>
      <c r="E70" s="17">
        <v>18</v>
      </c>
      <c r="F70" s="17">
        <v>18</v>
      </c>
      <c r="G70" s="17">
        <v>18</v>
      </c>
    </row>
    <row r="72" spans="1:7" x14ac:dyDescent="0.2">
      <c r="A72" s="82" t="s">
        <v>32</v>
      </c>
    </row>
    <row r="73" spans="1:7" x14ac:dyDescent="0.2">
      <c r="F73" s="85"/>
      <c r="G73" s="85"/>
    </row>
    <row r="74" spans="1:7" x14ac:dyDescent="0.2">
      <c r="B74" s="86" t="s">
        <v>84</v>
      </c>
      <c r="C74" s="86"/>
      <c r="D74" s="87">
        <f>CEILING(D29*D5,1)</f>
        <v>7671</v>
      </c>
      <c r="E74" s="87">
        <f>CEILING(E29*E5,1)</f>
        <v>7671</v>
      </c>
      <c r="F74" s="87">
        <f>CEILING(F29*F5,1)</f>
        <v>7671</v>
      </c>
      <c r="G74" s="87">
        <f>CEILING(G29*G5,1)</f>
        <v>7671</v>
      </c>
    </row>
    <row r="75" spans="1:7" x14ac:dyDescent="0.2">
      <c r="B75" s="86" t="s">
        <v>28</v>
      </c>
      <c r="C75" s="86"/>
      <c r="D75" s="88">
        <f>CEILING(D34*D6,1)</f>
        <v>15798</v>
      </c>
      <c r="E75" s="88">
        <f>CEILING(E34*E6,1)</f>
        <v>15798</v>
      </c>
      <c r="F75" s="88">
        <f>CEILING(F34*F6,1)</f>
        <v>15798</v>
      </c>
      <c r="G75" s="88">
        <f>CEILING(G34*G6,1)</f>
        <v>12639</v>
      </c>
    </row>
    <row r="76" spans="1:7" x14ac:dyDescent="0.2">
      <c r="B76" s="86" t="s">
        <v>27</v>
      </c>
      <c r="C76" s="86"/>
      <c r="D76" s="88">
        <f>ROUND((D34*0.5*12.05)*'General Parameters'!$E$4/'General Parameters'!$D$4,0)</f>
        <v>1115</v>
      </c>
      <c r="E76" s="88">
        <f>ROUND((E34*0.5*12.05)*'General Parameters'!$E$4/'General Parameters'!$D$4,0)</f>
        <v>1115</v>
      </c>
      <c r="F76" s="88">
        <f>ROUND((F34*0.5*12.05)*'General Parameters'!$E$4/'General Parameters'!$D$4,0)</f>
        <v>1115</v>
      </c>
      <c r="G76" s="88">
        <f>ROUND((G34*0.5*12.05)*'General Parameters'!$E$4/'General Parameters'!$D$4,0)</f>
        <v>1115</v>
      </c>
    </row>
    <row r="77" spans="1:7" x14ac:dyDescent="0.2">
      <c r="B77" s="86" t="s">
        <v>26</v>
      </c>
      <c r="C77" s="86"/>
      <c r="D77" s="88">
        <f>CEILING(D46*'General Parameters'!$E$2/'General Parameters'!$D$2,1)</f>
        <v>12</v>
      </c>
      <c r="E77" s="88">
        <f>CEILING(E46*'General Parameters'!$E$2/'General Parameters'!$D$2,1)</f>
        <v>12</v>
      </c>
      <c r="F77" s="88">
        <f>CEILING(F46*'General Parameters'!$E$2/'General Parameters'!$D$2,1)</f>
        <v>12</v>
      </c>
      <c r="G77" s="88">
        <f>CEILING(G46*'General Parameters'!$E$2/'General Parameters'!$D$2,1)</f>
        <v>12</v>
      </c>
    </row>
    <row r="78" spans="1:7" x14ac:dyDescent="0.2">
      <c r="B78" s="86" t="s">
        <v>25</v>
      </c>
      <c r="C78" s="86"/>
      <c r="D78" s="88">
        <f>CEILING(D48/'General Parameters'!$D$3*'General Parameters'!$E$3,1)</f>
        <v>5673</v>
      </c>
      <c r="E78" s="88">
        <f>CEILING(E48/'General Parameters'!$D$3*'General Parameters'!$E$3,1)</f>
        <v>5673</v>
      </c>
      <c r="F78" s="88">
        <f>CEILING(F48/'General Parameters'!$D$3*'General Parameters'!$E$3,1)</f>
        <v>5673</v>
      </c>
      <c r="G78" s="88">
        <f>CEILING(G48/'General Parameters'!$D$3*'General Parameters'!$E$3,1)</f>
        <v>5673</v>
      </c>
    </row>
    <row r="79" spans="1:7" x14ac:dyDescent="0.2">
      <c r="B79" s="86" t="s">
        <v>24</v>
      </c>
      <c r="C79" s="86"/>
      <c r="D79" s="88">
        <f>D50</f>
        <v>320</v>
      </c>
      <c r="E79" s="88">
        <f>E50</f>
        <v>320</v>
      </c>
      <c r="F79" s="88">
        <f>F50</f>
        <v>320</v>
      </c>
      <c r="G79" s="88">
        <f>G50</f>
        <v>320</v>
      </c>
    </row>
    <row r="80" spans="1:7" x14ac:dyDescent="0.2">
      <c r="B80" s="89" t="s">
        <v>23</v>
      </c>
      <c r="C80" s="86"/>
      <c r="D80" s="51">
        <f>SUM(D74:D79)</f>
        <v>30589</v>
      </c>
      <c r="E80" s="51">
        <f t="shared" ref="E80:G80" si="3">SUM(E74:E79)</f>
        <v>30589</v>
      </c>
      <c r="F80" s="51">
        <f t="shared" si="3"/>
        <v>30589</v>
      </c>
      <c r="G80" s="51">
        <f t="shared" si="3"/>
        <v>27430</v>
      </c>
    </row>
    <row r="81" spans="1:7" x14ac:dyDescent="0.2">
      <c r="B81" s="86" t="s">
        <v>8</v>
      </c>
      <c r="C81" s="86"/>
      <c r="D81" s="88">
        <f>D56</f>
        <v>10345</v>
      </c>
      <c r="E81" s="88">
        <f>E56</f>
        <v>10345</v>
      </c>
      <c r="F81" s="88">
        <f>F56</f>
        <v>10345</v>
      </c>
      <c r="G81" s="88">
        <f>G56</f>
        <v>10345</v>
      </c>
    </row>
    <row r="82" spans="1:7" x14ac:dyDescent="0.2">
      <c r="B82" s="90" t="s">
        <v>22</v>
      </c>
      <c r="D82" s="91">
        <f>D80+D81</f>
        <v>40934</v>
      </c>
      <c r="E82" s="91">
        <f t="shared" ref="E82:G82" si="4">E80+E81</f>
        <v>40934</v>
      </c>
      <c r="F82" s="91">
        <f t="shared" si="4"/>
        <v>40934</v>
      </c>
      <c r="G82" s="91">
        <f t="shared" si="4"/>
        <v>37775</v>
      </c>
    </row>
    <row r="84" spans="1:7" x14ac:dyDescent="0.2">
      <c r="A84" s="82" t="s">
        <v>31</v>
      </c>
    </row>
    <row r="85" spans="1:7" x14ac:dyDescent="0.2">
      <c r="B85" s="86" t="s">
        <v>29</v>
      </c>
      <c r="C85" s="86"/>
      <c r="D85" s="92">
        <f t="shared" ref="D85:G90" si="5">D74/D$30</f>
        <v>1.4375937031484258</v>
      </c>
      <c r="E85" s="92">
        <f t="shared" si="5"/>
        <v>1.4375937031484258</v>
      </c>
      <c r="F85" s="92">
        <f t="shared" si="5"/>
        <v>1.4375937031484258</v>
      </c>
      <c r="G85" s="92">
        <f t="shared" si="5"/>
        <v>1.4375937031484258</v>
      </c>
    </row>
    <row r="86" spans="1:7" x14ac:dyDescent="0.2">
      <c r="B86" s="86" t="s">
        <v>28</v>
      </c>
      <c r="C86" s="86"/>
      <c r="D86" s="92">
        <f t="shared" si="5"/>
        <v>2.9606446776611692</v>
      </c>
      <c r="E86" s="92">
        <f t="shared" si="5"/>
        <v>2.9606446776611692</v>
      </c>
      <c r="F86" s="92">
        <f t="shared" si="5"/>
        <v>2.9606446776611692</v>
      </c>
      <c r="G86" s="92">
        <f t="shared" si="5"/>
        <v>2.3686281859070464</v>
      </c>
    </row>
    <row r="87" spans="1:7" x14ac:dyDescent="0.2">
      <c r="B87" s="86" t="s">
        <v>27</v>
      </c>
      <c r="C87" s="86"/>
      <c r="D87" s="92">
        <f t="shared" si="5"/>
        <v>0.20895802098950525</v>
      </c>
      <c r="E87" s="92">
        <f t="shared" si="5"/>
        <v>0.20895802098950525</v>
      </c>
      <c r="F87" s="92">
        <f t="shared" si="5"/>
        <v>0.20895802098950525</v>
      </c>
      <c r="G87" s="92">
        <f t="shared" si="5"/>
        <v>0.20895802098950525</v>
      </c>
    </row>
    <row r="88" spans="1:7" x14ac:dyDescent="0.2">
      <c r="B88" s="86" t="s">
        <v>26</v>
      </c>
      <c r="C88" s="86"/>
      <c r="D88" s="92">
        <f t="shared" si="5"/>
        <v>2.2488755622188904E-3</v>
      </c>
      <c r="E88" s="92">
        <f t="shared" si="5"/>
        <v>2.2488755622188904E-3</v>
      </c>
      <c r="F88" s="92">
        <f t="shared" si="5"/>
        <v>2.2488755622188904E-3</v>
      </c>
      <c r="G88" s="92">
        <f t="shared" si="5"/>
        <v>2.2488755622188904E-3</v>
      </c>
    </row>
    <row r="89" spans="1:7" x14ac:dyDescent="0.2">
      <c r="B89" s="86" t="s">
        <v>25</v>
      </c>
      <c r="C89" s="86"/>
      <c r="D89" s="92">
        <f t="shared" si="5"/>
        <v>1.0631559220389806</v>
      </c>
      <c r="E89" s="92">
        <f t="shared" si="5"/>
        <v>1.0631559220389806</v>
      </c>
      <c r="F89" s="92">
        <f t="shared" si="5"/>
        <v>1.0631559220389806</v>
      </c>
      <c r="G89" s="92">
        <f t="shared" si="5"/>
        <v>1.0631559220389806</v>
      </c>
    </row>
    <row r="90" spans="1:7" x14ac:dyDescent="0.2">
      <c r="B90" s="86" t="s">
        <v>24</v>
      </c>
      <c r="C90" s="86"/>
      <c r="D90" s="92">
        <f t="shared" si="5"/>
        <v>5.9970014992503748E-2</v>
      </c>
      <c r="E90" s="92">
        <f t="shared" si="5"/>
        <v>5.9970014992503748E-2</v>
      </c>
      <c r="F90" s="92">
        <f t="shared" si="5"/>
        <v>5.9970014992503748E-2</v>
      </c>
      <c r="G90" s="92">
        <f t="shared" si="5"/>
        <v>5.9970014992503748E-2</v>
      </c>
    </row>
    <row r="91" spans="1:7" x14ac:dyDescent="0.2">
      <c r="B91" s="89" t="s">
        <v>23</v>
      </c>
      <c r="C91" s="86"/>
      <c r="D91" s="93">
        <f>SUM(D85:D90)</f>
        <v>5.7325712143928031</v>
      </c>
      <c r="E91" s="93">
        <f t="shared" ref="E91:G91" si="6">SUM(E85:E90)</f>
        <v>5.7325712143928031</v>
      </c>
      <c r="F91" s="93">
        <f t="shared" si="6"/>
        <v>5.7325712143928031</v>
      </c>
      <c r="G91" s="93">
        <f t="shared" si="6"/>
        <v>5.1405547226386812</v>
      </c>
    </row>
    <row r="92" spans="1:7" x14ac:dyDescent="0.2">
      <c r="B92" s="86" t="s">
        <v>8</v>
      </c>
      <c r="C92" s="86"/>
      <c r="D92" s="92">
        <f>D81/D$30</f>
        <v>1.9387181409295353</v>
      </c>
      <c r="E92" s="92">
        <f t="shared" ref="E92:G92" si="7">E81/E$30</f>
        <v>1.9387181409295353</v>
      </c>
      <c r="F92" s="92">
        <f t="shared" si="7"/>
        <v>1.9387181409295353</v>
      </c>
      <c r="G92" s="92">
        <f t="shared" si="7"/>
        <v>1.9387181409295353</v>
      </c>
    </row>
    <row r="93" spans="1:7" x14ac:dyDescent="0.2">
      <c r="B93" s="90" t="s">
        <v>22</v>
      </c>
      <c r="D93" s="94">
        <f>SUM(D91:D92)</f>
        <v>7.6712893553223385</v>
      </c>
      <c r="E93" s="94">
        <f t="shared" ref="E93:G93" si="8">SUM(E91:E92)</f>
        <v>7.6712893553223385</v>
      </c>
      <c r="F93" s="94">
        <f t="shared" si="8"/>
        <v>7.6712893553223385</v>
      </c>
      <c r="G93" s="94">
        <f t="shared" si="8"/>
        <v>7.0792728635682165</v>
      </c>
    </row>
    <row r="95" spans="1:7" x14ac:dyDescent="0.2">
      <c r="A95" s="82" t="s">
        <v>30</v>
      </c>
    </row>
    <row r="96" spans="1:7" x14ac:dyDescent="0.2">
      <c r="B96" s="86" t="s">
        <v>29</v>
      </c>
      <c r="C96" s="86"/>
      <c r="D96" s="92">
        <f t="shared" ref="D96:G101" si="9">D74/D$32</f>
        <v>0.95887500000000003</v>
      </c>
      <c r="E96" s="92">
        <f t="shared" si="9"/>
        <v>0.95887500000000003</v>
      </c>
      <c r="F96" s="92">
        <f t="shared" si="9"/>
        <v>0.95887500000000003</v>
      </c>
      <c r="G96" s="92">
        <f t="shared" si="9"/>
        <v>0.95887500000000003</v>
      </c>
    </row>
    <row r="97" spans="1:9" x14ac:dyDescent="0.2">
      <c r="B97" s="86" t="s">
        <v>28</v>
      </c>
      <c r="C97" s="86"/>
      <c r="D97" s="92">
        <f t="shared" si="9"/>
        <v>1.97475</v>
      </c>
      <c r="E97" s="92">
        <f t="shared" si="9"/>
        <v>1.97475</v>
      </c>
      <c r="F97" s="92">
        <f t="shared" si="9"/>
        <v>1.97475</v>
      </c>
      <c r="G97" s="92">
        <f t="shared" si="9"/>
        <v>1.5798749999999999</v>
      </c>
    </row>
    <row r="98" spans="1:9" x14ac:dyDescent="0.2">
      <c r="B98" s="86" t="s">
        <v>27</v>
      </c>
      <c r="C98" s="86"/>
      <c r="D98" s="92">
        <f t="shared" si="9"/>
        <v>0.139375</v>
      </c>
      <c r="E98" s="92">
        <f t="shared" si="9"/>
        <v>0.139375</v>
      </c>
      <c r="F98" s="92">
        <f t="shared" si="9"/>
        <v>0.139375</v>
      </c>
      <c r="G98" s="92">
        <f t="shared" si="9"/>
        <v>0.139375</v>
      </c>
    </row>
    <row r="99" spans="1:9" x14ac:dyDescent="0.2">
      <c r="B99" s="86" t="s">
        <v>26</v>
      </c>
      <c r="C99" s="86"/>
      <c r="D99" s="92">
        <f t="shared" si="9"/>
        <v>1.5E-3</v>
      </c>
      <c r="E99" s="92">
        <f t="shared" si="9"/>
        <v>1.5E-3</v>
      </c>
      <c r="F99" s="92">
        <f t="shared" si="9"/>
        <v>1.5E-3</v>
      </c>
      <c r="G99" s="92">
        <f t="shared" si="9"/>
        <v>1.5E-3</v>
      </c>
    </row>
    <row r="100" spans="1:9" x14ac:dyDescent="0.2">
      <c r="B100" s="86" t="s">
        <v>25</v>
      </c>
      <c r="C100" s="86"/>
      <c r="D100" s="92">
        <f t="shared" si="9"/>
        <v>0.70912500000000001</v>
      </c>
      <c r="E100" s="92">
        <f t="shared" si="9"/>
        <v>0.70912500000000001</v>
      </c>
      <c r="F100" s="92">
        <f t="shared" si="9"/>
        <v>0.70912500000000001</v>
      </c>
      <c r="G100" s="92">
        <f t="shared" si="9"/>
        <v>0.70912500000000001</v>
      </c>
    </row>
    <row r="101" spans="1:9" x14ac:dyDescent="0.2">
      <c r="B101" s="86" t="s">
        <v>24</v>
      </c>
      <c r="C101" s="86"/>
      <c r="D101" s="92">
        <f t="shared" si="9"/>
        <v>0.04</v>
      </c>
      <c r="E101" s="92">
        <f t="shared" si="9"/>
        <v>0.04</v>
      </c>
      <c r="F101" s="92">
        <f t="shared" si="9"/>
        <v>0.04</v>
      </c>
      <c r="G101" s="92">
        <f t="shared" si="9"/>
        <v>0.04</v>
      </c>
    </row>
    <row r="102" spans="1:9" x14ac:dyDescent="0.2">
      <c r="B102" s="89" t="s">
        <v>23</v>
      </c>
      <c r="C102" s="86"/>
      <c r="D102" s="93">
        <f>SUM(D96:D101)</f>
        <v>3.8236249999999998</v>
      </c>
      <c r="E102" s="93">
        <f t="shared" ref="E102:G102" si="10">SUM(E96:E101)</f>
        <v>3.8236249999999998</v>
      </c>
      <c r="F102" s="93">
        <f t="shared" si="10"/>
        <v>3.8236249999999998</v>
      </c>
      <c r="G102" s="93">
        <f t="shared" si="10"/>
        <v>3.42875</v>
      </c>
    </row>
    <row r="103" spans="1:9" x14ac:dyDescent="0.2">
      <c r="B103" s="86" t="s">
        <v>8</v>
      </c>
      <c r="C103" s="86"/>
      <c r="D103" s="92">
        <f>D81/D$32</f>
        <v>1.2931250000000001</v>
      </c>
      <c r="E103" s="92">
        <f t="shared" ref="E103:G103" si="11">E81/E$32</f>
        <v>1.2931250000000001</v>
      </c>
      <c r="F103" s="92">
        <f t="shared" si="11"/>
        <v>1.2931250000000001</v>
      </c>
      <c r="G103" s="92">
        <f t="shared" si="11"/>
        <v>1.2931250000000001</v>
      </c>
    </row>
    <row r="104" spans="1:9" x14ac:dyDescent="0.2">
      <c r="B104" s="90" t="s">
        <v>22</v>
      </c>
      <c r="D104" s="94">
        <f>SUM(D102:D103)</f>
        <v>5.1167499999999997</v>
      </c>
      <c r="E104" s="94">
        <f t="shared" ref="E104:G104" si="12">SUM(E102:E103)</f>
        <v>5.1167499999999997</v>
      </c>
      <c r="F104" s="94">
        <f t="shared" si="12"/>
        <v>5.1167499999999997</v>
      </c>
      <c r="G104" s="94">
        <f t="shared" si="12"/>
        <v>4.7218749999999998</v>
      </c>
    </row>
    <row r="105" spans="1:9" x14ac:dyDescent="0.2">
      <c r="B105" s="90"/>
      <c r="D105" s="117"/>
      <c r="E105" s="117"/>
      <c r="F105" s="117"/>
      <c r="G105" s="117"/>
    </row>
    <row r="106" spans="1:9" ht="16" thickBot="1" x14ac:dyDescent="0.25">
      <c r="B106" s="90"/>
      <c r="D106" s="117"/>
      <c r="E106" s="117"/>
      <c r="F106" s="117"/>
      <c r="G106" s="117"/>
    </row>
    <row r="107" spans="1:9" ht="54" customHeight="1" thickBot="1" x14ac:dyDescent="0.3">
      <c r="A107" s="157" t="s">
        <v>155</v>
      </c>
      <c r="B107" s="158"/>
      <c r="C107" s="158"/>
      <c r="D107" s="158"/>
      <c r="E107" s="158"/>
      <c r="F107" s="158"/>
      <c r="G107" s="159"/>
    </row>
    <row r="108" spans="1:9" ht="32" x14ac:dyDescent="0.2">
      <c r="C108" s="67" t="s">
        <v>21</v>
      </c>
      <c r="D108" s="17">
        <v>1</v>
      </c>
      <c r="E108" s="17">
        <v>2</v>
      </c>
      <c r="F108" s="17">
        <v>20</v>
      </c>
      <c r="G108" s="17">
        <v>20</v>
      </c>
      <c r="I108" s="111" t="s">
        <v>153</v>
      </c>
    </row>
    <row r="109" spans="1:9" x14ac:dyDescent="0.2">
      <c r="B109" s="67" t="s">
        <v>92</v>
      </c>
      <c r="C109" s="67"/>
      <c r="D109" s="58">
        <v>0</v>
      </c>
      <c r="E109" s="58">
        <v>0</v>
      </c>
      <c r="F109" s="58">
        <v>0.2</v>
      </c>
      <c r="G109" s="58">
        <v>0.2</v>
      </c>
    </row>
    <row r="110" spans="1:9" x14ac:dyDescent="0.2">
      <c r="B110" s="67"/>
      <c r="C110" s="67"/>
      <c r="D110"/>
      <c r="E110"/>
      <c r="F110"/>
      <c r="G110"/>
    </row>
    <row r="111" spans="1:9" x14ac:dyDescent="0.2">
      <c r="B111" s="67"/>
      <c r="C111" s="67"/>
      <c r="D111"/>
      <c r="E111"/>
      <c r="F111"/>
      <c r="G111"/>
    </row>
    <row r="112" spans="1:9" x14ac:dyDescent="0.2">
      <c r="A112" s="106"/>
      <c r="B112" s="107" t="s">
        <v>13</v>
      </c>
      <c r="C112" s="107"/>
      <c r="D112" s="108">
        <f>D27*D108</f>
        <v>96000</v>
      </c>
      <c r="E112" s="108">
        <f>E27*E108</f>
        <v>192000</v>
      </c>
      <c r="F112" s="108">
        <f>F27*F108</f>
        <v>1920000</v>
      </c>
      <c r="G112" s="108">
        <f>G27*G108</f>
        <v>1920000</v>
      </c>
    </row>
    <row r="113" spans="1:9" x14ac:dyDescent="0.2">
      <c r="D113" s="67"/>
    </row>
    <row r="114" spans="1:9" ht="24" x14ac:dyDescent="0.3">
      <c r="B114" s="84" t="s">
        <v>116</v>
      </c>
    </row>
    <row r="116" spans="1:9" x14ac:dyDescent="0.2">
      <c r="A116" s="95" t="s">
        <v>20</v>
      </c>
      <c r="B116" s="96"/>
      <c r="C116" s="96"/>
      <c r="D116" s="96"/>
      <c r="E116" s="96"/>
      <c r="F116" s="96"/>
      <c r="G116" s="96"/>
    </row>
    <row r="117" spans="1:9" x14ac:dyDescent="0.2">
      <c r="A117" s="96"/>
      <c r="B117" s="96" t="s">
        <v>19</v>
      </c>
      <c r="C117" s="96"/>
      <c r="D117" s="97">
        <f>D23*D26*12*D108</f>
        <v>672000</v>
      </c>
      <c r="E117" s="97">
        <f>E23*E26*12*E108</f>
        <v>1344000</v>
      </c>
      <c r="F117" s="97">
        <f>F23*F26*12*F108</f>
        <v>11520000</v>
      </c>
      <c r="G117" s="97">
        <f>G23*G26*12*G108</f>
        <v>10080000</v>
      </c>
    </row>
    <row r="118" spans="1:9" x14ac:dyDescent="0.2">
      <c r="A118" s="96"/>
      <c r="B118" s="96" t="s">
        <v>18</v>
      </c>
      <c r="C118" s="96"/>
      <c r="D118" s="96"/>
      <c r="E118" s="96"/>
      <c r="F118" s="96"/>
      <c r="G118" s="96"/>
    </row>
    <row r="119" spans="1:9" x14ac:dyDescent="0.2">
      <c r="A119" s="96"/>
      <c r="B119" s="98" t="s">
        <v>84</v>
      </c>
      <c r="C119" s="96"/>
      <c r="D119" s="99">
        <f>D74*12*D108</f>
        <v>92052</v>
      </c>
      <c r="E119" s="99">
        <f>E74*12*E108</f>
        <v>184104</v>
      </c>
      <c r="F119" s="99">
        <f>F74*12*F108</f>
        <v>1841040</v>
      </c>
      <c r="G119" s="99">
        <f>G74*12*G108</f>
        <v>1841040</v>
      </c>
    </row>
    <row r="120" spans="1:9" x14ac:dyDescent="0.2">
      <c r="A120" s="96"/>
      <c r="B120" s="98" t="str">
        <f>B97</f>
        <v>Feed</v>
      </c>
      <c r="C120" s="96"/>
      <c r="D120" s="99">
        <f>D75*12*D108</f>
        <v>189576</v>
      </c>
      <c r="E120" s="99">
        <f>E75*12*E108</f>
        <v>379152</v>
      </c>
      <c r="F120" s="99">
        <f>F75*12*F108</f>
        <v>3791520</v>
      </c>
      <c r="G120" s="99">
        <f>G75*12*G108</f>
        <v>3033360</v>
      </c>
    </row>
    <row r="121" spans="1:9" x14ac:dyDescent="0.2">
      <c r="A121" s="96"/>
      <c r="B121" s="98" t="str">
        <f>B98</f>
        <v>Oxygen</v>
      </c>
      <c r="C121" s="96"/>
      <c r="D121" s="99">
        <f>D76*12*D108</f>
        <v>13380</v>
      </c>
      <c r="E121" s="99">
        <f>E76*12*E108</f>
        <v>26760</v>
      </c>
      <c r="F121" s="99">
        <f>F76*12*F108</f>
        <v>267600</v>
      </c>
      <c r="G121" s="99">
        <f>G76*12*G108</f>
        <v>267600</v>
      </c>
    </row>
    <row r="122" spans="1:9" x14ac:dyDescent="0.2">
      <c r="A122" s="96"/>
      <c r="B122" s="98" t="str">
        <f>B99</f>
        <v>Water</v>
      </c>
      <c r="C122" s="96"/>
      <c r="D122" s="99">
        <f>D77*12*D108</f>
        <v>144</v>
      </c>
      <c r="E122" s="99">
        <f>E77*12*E108</f>
        <v>288</v>
      </c>
      <c r="F122" s="99">
        <f>F77*12*F108</f>
        <v>2880</v>
      </c>
      <c r="G122" s="99">
        <f>G77*12*G108</f>
        <v>2880</v>
      </c>
    </row>
    <row r="123" spans="1:9" x14ac:dyDescent="0.2">
      <c r="A123" s="96"/>
      <c r="B123" s="98" t="str">
        <f>B100</f>
        <v>Electric</v>
      </c>
      <c r="C123" s="96"/>
      <c r="D123" s="99">
        <f>D78*12*D108</f>
        <v>68076</v>
      </c>
      <c r="E123" s="99">
        <f>E78*12*E108</f>
        <v>136152</v>
      </c>
      <c r="F123" s="99">
        <f>F78*12*F108</f>
        <v>1361520</v>
      </c>
      <c r="G123" s="99">
        <f>G78*12*G108</f>
        <v>1361520</v>
      </c>
    </row>
    <row r="124" spans="1:9" x14ac:dyDescent="0.2">
      <c r="A124" s="96"/>
      <c r="B124" s="98" t="s">
        <v>17</v>
      </c>
      <c r="C124" s="96"/>
      <c r="D124" s="99">
        <f>D79*12*D108</f>
        <v>3840</v>
      </c>
      <c r="E124" s="99">
        <f>E79*12*E108</f>
        <v>7680</v>
      </c>
      <c r="F124" s="99">
        <f>F79*12*F108</f>
        <v>76800</v>
      </c>
      <c r="G124" s="99">
        <f>G79*12*G108</f>
        <v>76800</v>
      </c>
    </row>
    <row r="125" spans="1:9" x14ac:dyDescent="0.2">
      <c r="A125" s="96"/>
      <c r="B125" s="96"/>
      <c r="C125" s="96"/>
      <c r="D125" s="100">
        <f>SUM(D119:D124)</f>
        <v>367068</v>
      </c>
      <c r="E125" s="100">
        <f t="shared" ref="E125:G125" si="13">SUM(E119:E124)</f>
        <v>734136</v>
      </c>
      <c r="F125" s="100">
        <f t="shared" si="13"/>
        <v>7341360</v>
      </c>
      <c r="G125" s="100">
        <f t="shared" si="13"/>
        <v>6583200</v>
      </c>
    </row>
    <row r="126" spans="1:9" x14ac:dyDescent="0.2">
      <c r="A126" s="96"/>
      <c r="B126" s="101" t="s">
        <v>16</v>
      </c>
      <c r="C126" s="96"/>
      <c r="D126" s="99">
        <f>D117-D125</f>
        <v>304932</v>
      </c>
      <c r="E126" s="99">
        <f t="shared" ref="E126:G126" si="14">E117-E125</f>
        <v>609864</v>
      </c>
      <c r="F126" s="99">
        <f t="shared" si="14"/>
        <v>4178640</v>
      </c>
      <c r="G126" s="99">
        <f t="shared" si="14"/>
        <v>3496800</v>
      </c>
    </row>
    <row r="127" spans="1:9" x14ac:dyDescent="0.2">
      <c r="A127" s="95" t="s">
        <v>98</v>
      </c>
      <c r="B127" s="96"/>
      <c r="C127" s="96"/>
      <c r="D127" s="96"/>
      <c r="E127" s="96"/>
      <c r="F127" s="96"/>
      <c r="G127" s="96"/>
    </row>
    <row r="128" spans="1:9" ht="16" x14ac:dyDescent="0.2">
      <c r="A128" s="96"/>
      <c r="B128" s="98" t="s">
        <v>15</v>
      </c>
      <c r="C128" s="96"/>
      <c r="D128" s="99">
        <f>D7*D108</f>
        <v>60000</v>
      </c>
      <c r="E128" s="99">
        <f>E7*E108</f>
        <v>120000</v>
      </c>
      <c r="F128" s="99">
        <f>F7*F108</f>
        <v>1200000</v>
      </c>
      <c r="G128" s="99">
        <f>G7*G108</f>
        <v>1200000</v>
      </c>
      <c r="I128" s="111" t="s">
        <v>156</v>
      </c>
    </row>
    <row r="129" spans="1:7" x14ac:dyDescent="0.2">
      <c r="A129" s="96"/>
      <c r="B129" s="98" t="s">
        <v>14</v>
      </c>
      <c r="C129" s="96"/>
      <c r="D129" s="102">
        <f>D21*D9*2080*D108</f>
        <v>41600</v>
      </c>
      <c r="E129" s="102">
        <f>E21*E9*2080*E108</f>
        <v>83200</v>
      </c>
      <c r="F129" s="102">
        <f>F21*F9*2080*F108</f>
        <v>832000</v>
      </c>
      <c r="G129" s="102">
        <f>G21*G9*2080*G108</f>
        <v>832000</v>
      </c>
    </row>
    <row r="130" spans="1:7" x14ac:dyDescent="0.2">
      <c r="A130" s="109">
        <v>0.01</v>
      </c>
      <c r="B130" s="98" t="s">
        <v>135</v>
      </c>
      <c r="C130" s="96"/>
      <c r="D130" s="99">
        <f>$A$130*D146</f>
        <v>12425</v>
      </c>
      <c r="E130" s="99">
        <f t="shared" ref="E130:G130" si="15">$A$130*E146</f>
        <v>24850</v>
      </c>
      <c r="F130" s="99">
        <f t="shared" si="15"/>
        <v>198800</v>
      </c>
      <c r="G130" s="99">
        <f t="shared" si="15"/>
        <v>198800</v>
      </c>
    </row>
    <row r="131" spans="1:7" x14ac:dyDescent="0.2">
      <c r="A131" s="96"/>
      <c r="B131" s="96" t="s">
        <v>97</v>
      </c>
      <c r="C131" s="96"/>
      <c r="D131" s="100">
        <f>SUM(D128:D130)</f>
        <v>114025</v>
      </c>
      <c r="E131" s="100">
        <f t="shared" ref="E131:G131" si="16">SUM(E128:E130)</f>
        <v>228050</v>
      </c>
      <c r="F131" s="100">
        <f t="shared" si="16"/>
        <v>2230800</v>
      </c>
      <c r="G131" s="100">
        <f t="shared" si="16"/>
        <v>2230800</v>
      </c>
    </row>
    <row r="132" spans="1:7" x14ac:dyDescent="0.2">
      <c r="A132" s="96"/>
      <c r="B132" s="96"/>
      <c r="C132" s="96"/>
      <c r="D132" s="96"/>
      <c r="E132" s="96"/>
      <c r="F132" s="96"/>
      <c r="G132" s="96"/>
    </row>
    <row r="133" spans="1:7" x14ac:dyDescent="0.2">
      <c r="A133" s="96"/>
      <c r="B133" s="101" t="s">
        <v>94</v>
      </c>
      <c r="C133" s="96"/>
      <c r="D133" s="100">
        <f>D126-D131</f>
        <v>190907</v>
      </c>
      <c r="E133" s="100">
        <f>E126-E131</f>
        <v>381814</v>
      </c>
      <c r="F133" s="100">
        <f t="shared" ref="F133:G133" si="17">F126-F131</f>
        <v>1947840</v>
      </c>
      <c r="G133" s="100">
        <f t="shared" si="17"/>
        <v>1266000</v>
      </c>
    </row>
    <row r="134" spans="1:7" x14ac:dyDescent="0.2">
      <c r="A134" s="96"/>
      <c r="B134" s="101"/>
      <c r="C134" s="96"/>
      <c r="D134" s="103"/>
      <c r="E134" s="103"/>
      <c r="F134" s="103"/>
      <c r="G134" s="103"/>
    </row>
    <row r="135" spans="1:7" x14ac:dyDescent="0.2">
      <c r="A135" s="96"/>
      <c r="B135" s="96"/>
      <c r="C135" s="96"/>
      <c r="D135" s="96"/>
      <c r="E135" s="96"/>
      <c r="F135" s="96"/>
      <c r="G135" s="96"/>
    </row>
    <row r="136" spans="1:7" x14ac:dyDescent="0.2">
      <c r="A136" s="96"/>
      <c r="B136" s="98" t="s">
        <v>99</v>
      </c>
      <c r="C136" s="96"/>
      <c r="D136" s="99">
        <f>-'Equip Interest Stage 4'!D24</f>
        <v>54004.375563701149</v>
      </c>
      <c r="E136" s="99">
        <f>-'Equip Interest Stage 4'!E24</f>
        <v>108008.7511274023</v>
      </c>
      <c r="F136" s="99">
        <f>-'Equip Interest Stage 4'!F24</f>
        <v>864070.00901921839</v>
      </c>
      <c r="G136" s="99">
        <f>-'Equip Interest Stage 4'!G24</f>
        <v>864070.00901921839</v>
      </c>
    </row>
    <row r="137" spans="1:7" x14ac:dyDescent="0.2">
      <c r="A137" s="96"/>
      <c r="B137" s="98" t="s">
        <v>111</v>
      </c>
      <c r="C137" s="96"/>
      <c r="D137" s="99">
        <f>-'Bldg Interest Stage 4'!D24</f>
        <v>13609.943386972755</v>
      </c>
      <c r="E137" s="99">
        <f>-'Bldg Interest Stage 4'!E24</f>
        <v>27219.886773945509</v>
      </c>
      <c r="F137" s="99">
        <f>-'Bldg Interest Stage 4'!F24</f>
        <v>272198.86773945508</v>
      </c>
      <c r="G137" s="99">
        <f>-'Bldg Interest Stage 4'!G24</f>
        <v>272198.86773945508</v>
      </c>
    </row>
    <row r="138" spans="1:7" x14ac:dyDescent="0.2">
      <c r="A138" s="96"/>
      <c r="B138" s="98" t="s">
        <v>112</v>
      </c>
      <c r="C138" s="96"/>
      <c r="D138" s="99">
        <f>ROUND(D154/D65,0)</f>
        <v>18151</v>
      </c>
      <c r="E138" s="99">
        <f>ROUND(E154/E65,0)</f>
        <v>36302</v>
      </c>
      <c r="F138" s="99">
        <f>ROUND(F154/F65,0)</f>
        <v>363024</v>
      </c>
      <c r="G138" s="99">
        <f>ROUND(G154/G65,0)</f>
        <v>363024</v>
      </c>
    </row>
    <row r="139" spans="1:7" x14ac:dyDescent="0.2">
      <c r="A139" s="96"/>
      <c r="B139" s="98" t="s">
        <v>115</v>
      </c>
      <c r="C139" s="96"/>
      <c r="D139" s="97">
        <f>D54*D108*(1-D109)/D61</f>
        <v>124250</v>
      </c>
      <c r="E139" s="97">
        <f>E54*E108*(1-E109)/E61</f>
        <v>248500</v>
      </c>
      <c r="F139" s="97">
        <f>F54*F108*(1-F109)/F61</f>
        <v>1988000</v>
      </c>
      <c r="G139" s="97">
        <f>G54*G108*(1-G109)/G61</f>
        <v>1988000</v>
      </c>
    </row>
    <row r="140" spans="1:7" x14ac:dyDescent="0.2">
      <c r="A140" s="96"/>
      <c r="B140" s="98" t="s">
        <v>96</v>
      </c>
      <c r="C140" s="96"/>
      <c r="D140" s="100">
        <f>SUM(D136:D139)</f>
        <v>210015.31895067391</v>
      </c>
      <c r="E140" s="100">
        <f t="shared" ref="E140:G140" si="18">SUM(E136:E139)</f>
        <v>420030.63790134783</v>
      </c>
      <c r="F140" s="100">
        <f t="shared" si="18"/>
        <v>3487292.8767586732</v>
      </c>
      <c r="G140" s="100">
        <f t="shared" si="18"/>
        <v>3487292.8767586732</v>
      </c>
    </row>
    <row r="141" spans="1:7" x14ac:dyDescent="0.2">
      <c r="A141" s="96"/>
      <c r="B141" s="98"/>
      <c r="C141" s="96"/>
      <c r="D141" s="104"/>
      <c r="E141" s="104"/>
      <c r="F141" s="104"/>
      <c r="G141" s="104"/>
    </row>
    <row r="142" spans="1:7" ht="16" thickBot="1" x14ac:dyDescent="0.25">
      <c r="A142" s="96"/>
      <c r="B142" s="101" t="s">
        <v>95</v>
      </c>
      <c r="C142" s="96"/>
      <c r="D142" s="105">
        <f>D133-D140</f>
        <v>-19108.318950673915</v>
      </c>
      <c r="E142" s="105">
        <f t="shared" ref="E142:G142" si="19">E133-E140</f>
        <v>-38216.637901347829</v>
      </c>
      <c r="F142" s="105">
        <f t="shared" si="19"/>
        <v>-1539452.8767586732</v>
      </c>
      <c r="G142" s="105">
        <f t="shared" si="19"/>
        <v>-2221292.8767586732</v>
      </c>
    </row>
    <row r="143" spans="1:7" ht="16" thickTop="1" x14ac:dyDescent="0.2">
      <c r="A143" s="96"/>
      <c r="B143" s="96"/>
      <c r="C143" s="96"/>
      <c r="D143" s="96"/>
      <c r="E143" s="96"/>
      <c r="F143" s="96"/>
      <c r="G143" s="96"/>
    </row>
    <row r="145" spans="1:7" ht="21" x14ac:dyDescent="0.25">
      <c r="A145" s="39" t="s">
        <v>113</v>
      </c>
      <c r="B145" s="47"/>
      <c r="C145" s="47"/>
      <c r="D145" s="47"/>
      <c r="E145" s="47"/>
      <c r="F145" s="47"/>
      <c r="G145" s="47"/>
    </row>
    <row r="146" spans="1:7" x14ac:dyDescent="0.2">
      <c r="A146" s="47"/>
      <c r="B146" s="48" t="s">
        <v>114</v>
      </c>
      <c r="C146" s="47"/>
      <c r="D146" s="55">
        <f>D54*D108*(1-D109)</f>
        <v>1242500</v>
      </c>
      <c r="E146" s="55">
        <f>E54*E108*(1-E109)</f>
        <v>2485000</v>
      </c>
      <c r="F146" s="55">
        <f>F54*F108*(1-F109)</f>
        <v>19880000</v>
      </c>
      <c r="G146" s="55">
        <f>G54*G108*(1-G109)</f>
        <v>19880000</v>
      </c>
    </row>
    <row r="148" spans="1:7" ht="21" x14ac:dyDescent="0.25">
      <c r="A148" s="39" t="s">
        <v>100</v>
      </c>
      <c r="B148" s="47"/>
      <c r="C148" s="47"/>
      <c r="D148" s="47"/>
      <c r="E148" s="47"/>
      <c r="F148" s="47"/>
      <c r="G148" s="47"/>
    </row>
    <row r="149" spans="1:7" x14ac:dyDescent="0.2">
      <c r="A149" s="47"/>
      <c r="B149" s="48" t="s">
        <v>109</v>
      </c>
      <c r="C149" s="47"/>
      <c r="D149" s="47"/>
      <c r="E149" s="47"/>
      <c r="F149" s="47"/>
      <c r="G149" s="47"/>
    </row>
    <row r="150" spans="1:7" x14ac:dyDescent="0.2">
      <c r="A150" s="47"/>
      <c r="B150" s="47" t="s">
        <v>6</v>
      </c>
      <c r="C150" s="49" t="s">
        <v>5</v>
      </c>
      <c r="D150" s="50">
        <f>D108*D68</f>
        <v>0.7</v>
      </c>
      <c r="E150" s="50">
        <f>E108*E68</f>
        <v>1.4</v>
      </c>
      <c r="F150" s="50">
        <f>F108*F68</f>
        <v>14</v>
      </c>
      <c r="G150" s="50">
        <f>G108*G68</f>
        <v>14</v>
      </c>
    </row>
    <row r="151" spans="1:7" x14ac:dyDescent="0.2">
      <c r="A151" s="47"/>
      <c r="B151" s="47" t="s">
        <v>4</v>
      </c>
      <c r="C151" s="49" t="s">
        <v>3</v>
      </c>
      <c r="D151" s="51">
        <f>D108*D53</f>
        <v>20168</v>
      </c>
      <c r="E151" s="51">
        <f>E108*E53</f>
        <v>40336</v>
      </c>
      <c r="F151" s="51">
        <f>F108*F53</f>
        <v>403360</v>
      </c>
      <c r="G151" s="51">
        <f>G108*G53</f>
        <v>403360</v>
      </c>
    </row>
    <row r="152" spans="1:7" x14ac:dyDescent="0.2">
      <c r="A152" s="47"/>
      <c r="B152" s="47"/>
      <c r="C152" s="47"/>
      <c r="D152" s="47"/>
      <c r="E152" s="47"/>
      <c r="F152" s="47"/>
      <c r="G152" s="47"/>
    </row>
    <row r="153" spans="1:7" x14ac:dyDescent="0.2">
      <c r="A153" s="47"/>
      <c r="B153" s="52" t="s">
        <v>107</v>
      </c>
      <c r="C153" s="47"/>
      <c r="D153" s="53">
        <f>D150*D69</f>
        <v>4900</v>
      </c>
      <c r="E153" s="53">
        <f>E150*E69</f>
        <v>9800</v>
      </c>
      <c r="F153" s="53">
        <f>F150*F69</f>
        <v>98000</v>
      </c>
      <c r="G153" s="53">
        <f>G150*G69</f>
        <v>98000</v>
      </c>
    </row>
    <row r="154" spans="1:7" x14ac:dyDescent="0.2">
      <c r="A154" s="47"/>
      <c r="B154" s="52" t="s">
        <v>108</v>
      </c>
      <c r="C154" s="47"/>
      <c r="D154" s="43">
        <f>D70*D151</f>
        <v>363024</v>
      </c>
      <c r="E154" s="43">
        <f>E70*E151</f>
        <v>726048</v>
      </c>
      <c r="F154" s="43">
        <f>F70*F151</f>
        <v>7260480</v>
      </c>
      <c r="G154" s="43">
        <f>G70*G151</f>
        <v>7260480</v>
      </c>
    </row>
    <row r="155" spans="1:7" x14ac:dyDescent="0.2">
      <c r="A155" s="47"/>
      <c r="B155" s="47"/>
      <c r="C155" s="47" t="s">
        <v>7</v>
      </c>
      <c r="D155" s="54">
        <f>SUM(D153:D154)</f>
        <v>367924</v>
      </c>
      <c r="E155" s="54">
        <f t="shared" ref="E155:G155" si="20">SUM(E153:E154)</f>
        <v>735848</v>
      </c>
      <c r="F155" s="54">
        <f t="shared" si="20"/>
        <v>7358480</v>
      </c>
      <c r="G155" s="54">
        <f t="shared" si="20"/>
        <v>7358480</v>
      </c>
    </row>
    <row r="157" spans="1:7" ht="21" x14ac:dyDescent="0.25">
      <c r="A157" s="39" t="s">
        <v>2</v>
      </c>
      <c r="B157" s="40"/>
      <c r="C157" s="40"/>
      <c r="D157" s="40"/>
      <c r="E157" s="40"/>
      <c r="F157" s="40"/>
      <c r="G157" s="40"/>
    </row>
    <row r="158" spans="1:7" x14ac:dyDescent="0.2">
      <c r="A158" s="40"/>
      <c r="B158" s="40" t="s">
        <v>1</v>
      </c>
      <c r="C158" s="40"/>
      <c r="D158" s="41">
        <f>D146*(1-D59)</f>
        <v>310625</v>
      </c>
      <c r="E158" s="41">
        <f>E146*(1-E59)</f>
        <v>621250</v>
      </c>
      <c r="F158" s="41">
        <f>F146*(1-F59)</f>
        <v>4970000</v>
      </c>
      <c r="G158" s="41">
        <f>G146*(1-G59)</f>
        <v>4970000</v>
      </c>
    </row>
    <row r="159" spans="1:7" x14ac:dyDescent="0.2">
      <c r="A159" s="40"/>
      <c r="B159" s="40" t="s">
        <v>0</v>
      </c>
      <c r="C159" s="40"/>
      <c r="D159" s="45">
        <f>D155*(1-D63)</f>
        <v>91981</v>
      </c>
      <c r="E159" s="45">
        <f>E155*(1-E63)</f>
        <v>183962</v>
      </c>
      <c r="F159" s="45">
        <f>F155*(1-F63)</f>
        <v>1839620</v>
      </c>
      <c r="G159" s="45">
        <f>G155*(1-G63)</f>
        <v>1839620</v>
      </c>
    </row>
    <row r="160" spans="1:7" ht="16" thickBot="1" x14ac:dyDescent="0.25">
      <c r="A160" s="40"/>
      <c r="B160" s="42" t="s">
        <v>7</v>
      </c>
      <c r="C160" s="40"/>
      <c r="D160" s="46">
        <f>SUM(D158:D159)</f>
        <v>402606</v>
      </c>
      <c r="E160" s="46">
        <f>SUM(E158:E159)</f>
        <v>805212</v>
      </c>
      <c r="F160" s="46">
        <f>SUM(F158:F159)</f>
        <v>6809620</v>
      </c>
      <c r="G160" s="46">
        <f>SUM(G158:G159)</f>
        <v>6809620</v>
      </c>
    </row>
    <row r="161" spans="1:9" ht="16" thickTop="1" x14ac:dyDescent="0.2"/>
    <row r="162" spans="1:9" ht="21" x14ac:dyDescent="0.25">
      <c r="A162" s="39" t="s">
        <v>127</v>
      </c>
      <c r="B162" s="40"/>
      <c r="C162" s="40"/>
      <c r="D162" s="40"/>
      <c r="E162" s="40"/>
      <c r="F162" s="40"/>
      <c r="G162" s="40"/>
      <c r="I162" s="115"/>
    </row>
    <row r="163" spans="1:9" x14ac:dyDescent="0.2">
      <c r="A163" s="40"/>
      <c r="B163" s="40" t="s">
        <v>120</v>
      </c>
      <c r="C163" s="40"/>
      <c r="D163" s="41">
        <f>D133</f>
        <v>190907</v>
      </c>
      <c r="E163" s="41">
        <f>E133</f>
        <v>381814</v>
      </c>
      <c r="F163" s="41">
        <f>F133</f>
        <v>1947840</v>
      </c>
      <c r="G163" s="41">
        <f>G133</f>
        <v>1266000</v>
      </c>
    </row>
    <row r="164" spans="1:9" x14ac:dyDescent="0.2">
      <c r="A164" s="40"/>
      <c r="B164" s="40" t="s">
        <v>119</v>
      </c>
      <c r="C164" s="40"/>
      <c r="D164" s="41"/>
      <c r="E164" s="41"/>
      <c r="F164" s="41"/>
      <c r="G164" s="41"/>
    </row>
    <row r="165" spans="1:9" x14ac:dyDescent="0.2">
      <c r="A165" s="40"/>
      <c r="B165" s="42" t="s">
        <v>121</v>
      </c>
      <c r="C165" s="40"/>
      <c r="D165" s="43">
        <f>-PMT(D60/12,D61*12,(D146-D158))*12</f>
        <v>124148.67629624948</v>
      </c>
      <c r="E165" s="43">
        <f>-PMT(E60/12,E61*12,(E146-E158))*12</f>
        <v>248297.35259249897</v>
      </c>
      <c r="F165" s="43">
        <f>-PMT(F60/12,F61*12,(F146-F158))*12</f>
        <v>1986378.8207399917</v>
      </c>
      <c r="G165" s="43">
        <f>-PMT(G60/12,G61*12,(G146-G158))*12</f>
        <v>1986378.8207399917</v>
      </c>
    </row>
    <row r="166" spans="1:9" x14ac:dyDescent="0.2">
      <c r="A166" s="40"/>
      <c r="B166" s="42" t="s">
        <v>122</v>
      </c>
      <c r="C166" s="40"/>
      <c r="D166" s="41">
        <f>D163-D165</f>
        <v>66758.323703750517</v>
      </c>
      <c r="E166" s="41">
        <f t="shared" ref="E166:G166" si="21">E163-E165</f>
        <v>133516.64740750103</v>
      </c>
      <c r="F166" s="41">
        <f t="shared" si="21"/>
        <v>-38538.82073999173</v>
      </c>
      <c r="G166" s="41">
        <f t="shared" si="21"/>
        <v>-720378.82073999173</v>
      </c>
    </row>
    <row r="167" spans="1:9" x14ac:dyDescent="0.2">
      <c r="A167" s="40"/>
      <c r="B167" s="40"/>
      <c r="C167" s="40"/>
      <c r="D167" s="40"/>
      <c r="E167" s="40"/>
      <c r="F167" s="40"/>
      <c r="G167" s="40"/>
    </row>
    <row r="168" spans="1:9" x14ac:dyDescent="0.2">
      <c r="A168" s="40"/>
      <c r="B168" s="42" t="s">
        <v>123</v>
      </c>
      <c r="C168" s="40"/>
      <c r="D168" s="43">
        <f>-PMT(D64/12,D65*12,(D155-D159))*12</f>
        <v>21853.219985599451</v>
      </c>
      <c r="E168" s="43">
        <f>-PMT(E64/12,E65*12,(E155-E159))*12</f>
        <v>43706.439971198903</v>
      </c>
      <c r="F168" s="43">
        <f>-PMT(F64/12,F65*12,(F155-F159))*12</f>
        <v>437064.3997119891</v>
      </c>
      <c r="G168" s="43">
        <f>-PMT(G64/12,G65*12,(G155-G159))*12</f>
        <v>437064.3997119891</v>
      </c>
    </row>
    <row r="169" spans="1:9" x14ac:dyDescent="0.2">
      <c r="A169" s="40"/>
      <c r="B169" s="42" t="s">
        <v>122</v>
      </c>
      <c r="C169" s="40"/>
      <c r="D169" s="41">
        <f>D166-D168</f>
        <v>44905.103718151062</v>
      </c>
      <c r="E169" s="41">
        <f t="shared" ref="E169:G169" si="22">E166-E168</f>
        <v>89810.207436302124</v>
      </c>
      <c r="F169" s="41">
        <f t="shared" si="22"/>
        <v>-475603.22045198083</v>
      </c>
      <c r="G169" s="41">
        <f t="shared" si="22"/>
        <v>-1157443.2204519808</v>
      </c>
    </row>
  </sheetData>
  <sheetProtection algorithmName="SHA-512" hashValue="qGq2KxJ1mT2c7rnmkRsco9QcyvqEO7YWKyU8GTMVDOnVT/EnLoa6nDiIELJymkVPwd3TUrR/RG8caqVsIpZgiw==" saltValue="5eGez42F2FMQJga9d85x3A==" spinCount="100000" sheet="1" objects="1" scenarios="1" selectLockedCells="1"/>
  <mergeCells count="3">
    <mergeCell ref="B1:G1"/>
    <mergeCell ref="D3:G3"/>
    <mergeCell ref="A107:G107"/>
  </mergeCells>
  <pageMargins left="0.7" right="0.7" top="0.5" bottom="0.42" header="0.25" footer="0.18"/>
  <pageSetup orientation="landscape" r:id="rId1"/>
  <headerFooter>
    <oddHeader>&amp;L&amp;F&amp;C&amp;A&amp;R&amp;D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workbookViewId="0">
      <selection activeCell="E20" sqref="E20"/>
    </sheetView>
  </sheetViews>
  <sheetFormatPr baseColWidth="10" defaultColWidth="8.83203125" defaultRowHeight="15" x14ac:dyDescent="0.2"/>
  <cols>
    <col min="1" max="1" width="5" customWidth="1"/>
    <col min="2" max="2" width="17.33203125" customWidth="1"/>
    <col min="4" max="7" width="17" customWidth="1"/>
  </cols>
  <sheetData>
    <row r="1" spans="1:7" ht="21" x14ac:dyDescent="0.25">
      <c r="D1" s="11" t="s">
        <v>71</v>
      </c>
      <c r="E1" s="11" t="s">
        <v>88</v>
      </c>
      <c r="F1" s="11" t="s">
        <v>89</v>
      </c>
      <c r="G1" s="11" t="s">
        <v>90</v>
      </c>
    </row>
    <row r="2" spans="1:7" ht="24" x14ac:dyDescent="0.3">
      <c r="A2" s="2" t="s">
        <v>1</v>
      </c>
    </row>
    <row r="4" spans="1:7" x14ac:dyDescent="0.2">
      <c r="B4" t="s">
        <v>128</v>
      </c>
      <c r="D4" s="4">
        <f>' Summary Model Stage 4'!D146</f>
        <v>1242500</v>
      </c>
      <c r="E4" s="4">
        <f>' Summary Model Stage 4'!E146</f>
        <v>2485000</v>
      </c>
      <c r="F4" s="4">
        <f>' Summary Model Stage 4'!F146</f>
        <v>19880000</v>
      </c>
      <c r="G4" s="4">
        <f>' Summary Model Stage 4'!G146</f>
        <v>19880000</v>
      </c>
    </row>
    <row r="5" spans="1:7" x14ac:dyDescent="0.2">
      <c r="B5" t="s">
        <v>118</v>
      </c>
      <c r="D5" s="12">
        <f>' Summary Model Stage 4'!D59</f>
        <v>0.75</v>
      </c>
      <c r="E5" s="12">
        <f>' Summary Model Stage 4'!E59</f>
        <v>0.75</v>
      </c>
      <c r="F5" s="12">
        <f>' Summary Model Stage 4'!F59</f>
        <v>0.75</v>
      </c>
      <c r="G5" s="12">
        <f>' Summary Model Stage 4'!G59</f>
        <v>0.75</v>
      </c>
    </row>
    <row r="6" spans="1:7" x14ac:dyDescent="0.2">
      <c r="B6" t="s">
        <v>11</v>
      </c>
      <c r="D6" s="12">
        <f>' Summary Model Stage 4'!D60</f>
        <v>0.06</v>
      </c>
      <c r="E6" s="12">
        <f>' Summary Model Stage 4'!E60</f>
        <v>0.06</v>
      </c>
      <c r="F6" s="12">
        <f>' Summary Model Stage 4'!F60</f>
        <v>0.06</v>
      </c>
      <c r="G6" s="12">
        <f>' Summary Model Stage 4'!G60</f>
        <v>0.06</v>
      </c>
    </row>
    <row r="7" spans="1:7" x14ac:dyDescent="0.2">
      <c r="B7" t="s">
        <v>129</v>
      </c>
      <c r="D7" s="14">
        <f>' Summary Model Stage 4'!D61</f>
        <v>10</v>
      </c>
      <c r="E7" s="14">
        <f>' Summary Model Stage 4'!E61</f>
        <v>10</v>
      </c>
      <c r="F7" s="14">
        <f>' Summary Model Stage 4'!F61</f>
        <v>10</v>
      </c>
      <c r="G7" s="14">
        <f>' Summary Model Stage 4'!G61</f>
        <v>10</v>
      </c>
    </row>
    <row r="8" spans="1:7" x14ac:dyDescent="0.2">
      <c r="B8" t="s">
        <v>136</v>
      </c>
      <c r="D8" s="13">
        <f>PMT(D6/12,D7*12,D10)</f>
        <v>-10345.723024687457</v>
      </c>
      <c r="E8" s="13">
        <f t="shared" ref="E8:G8" si="0">PMT(E6/12,E7*12,E10)</f>
        <v>-20691.446049374914</v>
      </c>
      <c r="F8" s="13">
        <f t="shared" si="0"/>
        <v>-165531.56839499931</v>
      </c>
      <c r="G8" s="13">
        <f t="shared" si="0"/>
        <v>-165531.56839499931</v>
      </c>
    </row>
    <row r="10" spans="1:7" x14ac:dyDescent="0.2">
      <c r="B10" t="s">
        <v>130</v>
      </c>
      <c r="D10" s="1">
        <f>D4*D5</f>
        <v>931875</v>
      </c>
      <c r="E10" s="1">
        <f t="shared" ref="E10:G10" si="1">E4*E5</f>
        <v>1863750</v>
      </c>
      <c r="F10" s="1">
        <f t="shared" si="1"/>
        <v>14910000</v>
      </c>
      <c r="G10" s="1">
        <f t="shared" si="1"/>
        <v>14910000</v>
      </c>
    </row>
    <row r="11" spans="1:7" x14ac:dyDescent="0.2">
      <c r="B11" t="s">
        <v>131</v>
      </c>
      <c r="C11">
        <v>1</v>
      </c>
      <c r="D11" s="13">
        <f t="shared" ref="D11:D22" si="2">IPMT(D$6/12,$C11,D$7*12,D$10)</f>
        <v>-4659.375</v>
      </c>
      <c r="E11" s="13">
        <f t="shared" ref="E11:G11" si="3">IPMT(E$6/12,$C11,E$7*12,E$10)</f>
        <v>-9318.75</v>
      </c>
      <c r="F11" s="13">
        <f t="shared" si="3"/>
        <v>-74550</v>
      </c>
      <c r="G11" s="13">
        <f t="shared" si="3"/>
        <v>-74550</v>
      </c>
    </row>
    <row r="12" spans="1:7" x14ac:dyDescent="0.2">
      <c r="C12">
        <v>2</v>
      </c>
      <c r="D12" s="13">
        <f t="shared" si="2"/>
        <v>-4630.9432598765634</v>
      </c>
      <c r="E12" s="13">
        <f t="shared" ref="E12:G22" si="4">IPMT(E$6/12,$C12,E$7*12,E$10)</f>
        <v>-9261.8865197531268</v>
      </c>
      <c r="F12" s="13">
        <f t="shared" si="4"/>
        <v>-74095.092158025014</v>
      </c>
      <c r="G12" s="13">
        <f t="shared" si="4"/>
        <v>-74095.092158025014</v>
      </c>
    </row>
    <row r="13" spans="1:7" x14ac:dyDescent="0.2">
      <c r="C13">
        <v>3</v>
      </c>
      <c r="D13" s="13">
        <f t="shared" si="2"/>
        <v>-4602.3693610525079</v>
      </c>
      <c r="E13" s="13">
        <f t="shared" si="4"/>
        <v>-9204.7387221050158</v>
      </c>
      <c r="F13" s="13">
        <f t="shared" si="4"/>
        <v>-73637.909776840126</v>
      </c>
      <c r="G13" s="13">
        <f t="shared" si="4"/>
        <v>-73637.909776840126</v>
      </c>
    </row>
    <row r="14" spans="1:7" x14ac:dyDescent="0.2">
      <c r="C14">
        <v>4</v>
      </c>
      <c r="D14" s="13">
        <f t="shared" si="2"/>
        <v>-4573.6525927343328</v>
      </c>
      <c r="E14" s="13">
        <f t="shared" si="4"/>
        <v>-9147.3051854686655</v>
      </c>
      <c r="F14" s="13">
        <f t="shared" si="4"/>
        <v>-73178.441483749324</v>
      </c>
      <c r="G14" s="13">
        <f t="shared" si="4"/>
        <v>-73178.441483749324</v>
      </c>
    </row>
    <row r="15" spans="1:7" x14ac:dyDescent="0.2">
      <c r="C15">
        <v>5</v>
      </c>
      <c r="D15" s="13">
        <f t="shared" si="2"/>
        <v>-4544.7922405745685</v>
      </c>
      <c r="E15" s="13">
        <f t="shared" si="4"/>
        <v>-9089.584481149137</v>
      </c>
      <c r="F15" s="13">
        <f t="shared" si="4"/>
        <v>-72716.675849193096</v>
      </c>
      <c r="G15" s="13">
        <f t="shared" si="4"/>
        <v>-72716.675849193096</v>
      </c>
    </row>
    <row r="16" spans="1:7" x14ac:dyDescent="0.2">
      <c r="C16">
        <v>6</v>
      </c>
      <c r="D16" s="13">
        <f t="shared" si="2"/>
        <v>-4515.7875866540035</v>
      </c>
      <c r="E16" s="13">
        <f t="shared" si="4"/>
        <v>-9031.5751733080069</v>
      </c>
      <c r="F16" s="13">
        <f t="shared" si="4"/>
        <v>-72252.601386464055</v>
      </c>
      <c r="G16" s="13">
        <f t="shared" si="4"/>
        <v>-72252.601386464055</v>
      </c>
    </row>
    <row r="17" spans="3:7" x14ac:dyDescent="0.2">
      <c r="C17">
        <v>7</v>
      </c>
      <c r="D17" s="13">
        <f t="shared" si="2"/>
        <v>-4486.637909463836</v>
      </c>
      <c r="E17" s="13">
        <f t="shared" si="4"/>
        <v>-8973.2758189276719</v>
      </c>
      <c r="F17" s="13">
        <f t="shared" si="4"/>
        <v>-71786.206551421375</v>
      </c>
      <c r="G17" s="13">
        <f t="shared" si="4"/>
        <v>-71786.206551421375</v>
      </c>
    </row>
    <row r="18" spans="3:7" x14ac:dyDescent="0.2">
      <c r="C18">
        <v>8</v>
      </c>
      <c r="D18" s="13">
        <f t="shared" si="2"/>
        <v>-4457.3424838877181</v>
      </c>
      <c r="E18" s="13">
        <f t="shared" si="4"/>
        <v>-8914.6849677754362</v>
      </c>
      <c r="F18" s="13">
        <f t="shared" si="4"/>
        <v>-71317.47974220349</v>
      </c>
      <c r="G18" s="13">
        <f t="shared" si="4"/>
        <v>-71317.47974220349</v>
      </c>
    </row>
    <row r="19" spans="3:7" x14ac:dyDescent="0.2">
      <c r="C19">
        <v>9</v>
      </c>
      <c r="D19" s="13">
        <f t="shared" si="2"/>
        <v>-4427.9005811837187</v>
      </c>
      <c r="E19" s="13">
        <f t="shared" si="4"/>
        <v>-8855.8011623674374</v>
      </c>
      <c r="F19" s="13">
        <f t="shared" si="4"/>
        <v>-70846.409298939499</v>
      </c>
      <c r="G19" s="13">
        <f t="shared" si="4"/>
        <v>-70846.409298939499</v>
      </c>
    </row>
    <row r="20" spans="3:7" x14ac:dyDescent="0.2">
      <c r="C20">
        <v>10</v>
      </c>
      <c r="D20" s="13">
        <f t="shared" si="2"/>
        <v>-4398.3114689661998</v>
      </c>
      <c r="E20" s="13">
        <f t="shared" si="4"/>
        <v>-8796.6229379323995</v>
      </c>
      <c r="F20" s="13">
        <f t="shared" si="4"/>
        <v>-70372.983503459196</v>
      </c>
      <c r="G20" s="13">
        <f t="shared" si="4"/>
        <v>-70372.983503459196</v>
      </c>
    </row>
    <row r="21" spans="3:7" x14ac:dyDescent="0.2">
      <c r="C21">
        <v>11</v>
      </c>
      <c r="D21" s="13">
        <f t="shared" si="2"/>
        <v>-4368.5744111875947</v>
      </c>
      <c r="E21" s="13">
        <f t="shared" si="4"/>
        <v>-8737.1488223751894</v>
      </c>
      <c r="F21" s="13">
        <f t="shared" si="4"/>
        <v>-69897.190579001515</v>
      </c>
      <c r="G21" s="13">
        <f t="shared" si="4"/>
        <v>-69897.190579001515</v>
      </c>
    </row>
    <row r="22" spans="3:7" x14ac:dyDescent="0.2">
      <c r="C22">
        <v>12</v>
      </c>
      <c r="D22" s="13">
        <f t="shared" si="2"/>
        <v>-4338.6886681200958</v>
      </c>
      <c r="E22" s="13">
        <f t="shared" si="4"/>
        <v>-8677.3773362401917</v>
      </c>
      <c r="F22" s="13">
        <f t="shared" si="4"/>
        <v>-69419.018689921533</v>
      </c>
      <c r="G22" s="13">
        <f t="shared" si="4"/>
        <v>-69419.018689921533</v>
      </c>
    </row>
    <row r="24" spans="3:7" x14ac:dyDescent="0.2">
      <c r="D24" s="13">
        <f>SUM(D11:D22)</f>
        <v>-54004.375563701149</v>
      </c>
      <c r="E24" s="13">
        <f t="shared" ref="E24:G24" si="5">SUM(E11:E22)</f>
        <v>-108008.7511274023</v>
      </c>
      <c r="F24" s="13">
        <f t="shared" si="5"/>
        <v>-864070.00901921839</v>
      </c>
      <c r="G24" s="13">
        <f t="shared" si="5"/>
        <v>-864070.00901921839</v>
      </c>
    </row>
    <row r="27" spans="3:7" x14ac:dyDescent="0.2">
      <c r="C27" t="s">
        <v>137</v>
      </c>
      <c r="D27" s="13">
        <f>-D8*12</f>
        <v>124148.67629624948</v>
      </c>
      <c r="E27" s="13">
        <f t="shared" ref="E27:G27" si="6">-E8*12</f>
        <v>248297.35259249897</v>
      </c>
      <c r="F27" s="13">
        <f t="shared" si="6"/>
        <v>1986378.8207399917</v>
      </c>
      <c r="G27" s="13">
        <f t="shared" si="6"/>
        <v>1986378.8207399917</v>
      </c>
    </row>
  </sheetData>
  <sheetProtection algorithmName="SHA-512" hashValue="XbYl1bKBLmU5VfGnjKpgLKJWA7JCN4IA2zJjPY9JYgXoCoVpAuKWAzYPooWP10UVS4IHYqvVowMKxIQPDW5z7A==" saltValue="4pJcpidzkwEy7v+XSSCb6g==" spinCount="100000" sheet="1" objects="1" scenarios="1" select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>
      <selection activeCell="E20" sqref="E20"/>
    </sheetView>
  </sheetViews>
  <sheetFormatPr baseColWidth="10" defaultColWidth="8.83203125" defaultRowHeight="15" x14ac:dyDescent="0.2"/>
  <cols>
    <col min="1" max="1" width="5" customWidth="1"/>
    <col min="2" max="2" width="17.33203125" customWidth="1"/>
    <col min="4" max="7" width="17.1640625" customWidth="1"/>
  </cols>
  <sheetData>
    <row r="1" spans="1:7" ht="21" x14ac:dyDescent="0.25">
      <c r="D1" s="11" t="s">
        <v>71</v>
      </c>
      <c r="E1" s="11" t="s">
        <v>88</v>
      </c>
      <c r="F1" s="11" t="s">
        <v>89</v>
      </c>
      <c r="G1" s="11" t="s">
        <v>90</v>
      </c>
    </row>
    <row r="2" spans="1:7" ht="24" x14ac:dyDescent="0.3">
      <c r="A2" s="2" t="s">
        <v>1</v>
      </c>
    </row>
    <row r="4" spans="1:7" x14ac:dyDescent="0.2">
      <c r="B4" t="s">
        <v>128</v>
      </c>
      <c r="D4" s="4">
        <f>' Summary Model Stage 4'!D155</f>
        <v>367924</v>
      </c>
      <c r="E4" s="4">
        <f>' Summary Model Stage 4'!E155</f>
        <v>735848</v>
      </c>
      <c r="F4" s="4">
        <f>' Summary Model Stage 4'!F155</f>
        <v>7358480</v>
      </c>
      <c r="G4" s="4">
        <f>' Summary Model Stage 4'!G155</f>
        <v>7358480</v>
      </c>
    </row>
    <row r="5" spans="1:7" x14ac:dyDescent="0.2">
      <c r="B5" t="s">
        <v>118</v>
      </c>
      <c r="D5" s="12">
        <f>' Summary Model Stage 4'!D63</f>
        <v>0.75</v>
      </c>
      <c r="E5" s="12">
        <f>' Summary Model Stage 4'!E63</f>
        <v>0.75</v>
      </c>
      <c r="F5" s="12">
        <f>' Summary Model Stage 4'!F63</f>
        <v>0.75</v>
      </c>
      <c r="G5" s="12">
        <f>' Summary Model Stage 4'!G63</f>
        <v>0.75</v>
      </c>
    </row>
    <row r="6" spans="1:7" x14ac:dyDescent="0.2">
      <c r="B6" t="s">
        <v>11</v>
      </c>
      <c r="D6" s="12">
        <f>' Summary Model Stage 4'!D64</f>
        <v>0.05</v>
      </c>
      <c r="E6" s="12">
        <f>' Summary Model Stage 4'!E64</f>
        <v>0.05</v>
      </c>
      <c r="F6" s="12">
        <f>' Summary Model Stage 4'!F64</f>
        <v>0.05</v>
      </c>
      <c r="G6" s="12">
        <f>' Summary Model Stage 4'!G64</f>
        <v>0.05</v>
      </c>
    </row>
    <row r="7" spans="1:7" x14ac:dyDescent="0.2">
      <c r="B7" t="s">
        <v>129</v>
      </c>
      <c r="D7" s="14">
        <f>' Summary Model Stage 4'!D65</f>
        <v>20</v>
      </c>
      <c r="E7" s="14">
        <f>' Summary Model Stage 4'!E65</f>
        <v>20</v>
      </c>
      <c r="F7" s="14">
        <f>' Summary Model Stage 4'!F65</f>
        <v>20</v>
      </c>
      <c r="G7" s="14">
        <f>' Summary Model Stage 4'!G65</f>
        <v>20</v>
      </c>
    </row>
    <row r="8" spans="1:7" x14ac:dyDescent="0.2">
      <c r="B8" t="s">
        <v>136</v>
      </c>
      <c r="D8" s="13">
        <f>PMT(D6/12,D7*12,D10)</f>
        <v>-1821.1016654666209</v>
      </c>
      <c r="E8" s="13">
        <f t="shared" ref="E8:G8" si="0">PMT(E6/12,E7*12,E10)</f>
        <v>-3642.2033309332419</v>
      </c>
      <c r="F8" s="13">
        <f t="shared" si="0"/>
        <v>-36422.033309332423</v>
      </c>
      <c r="G8" s="13">
        <f t="shared" si="0"/>
        <v>-36422.033309332423</v>
      </c>
    </row>
    <row r="10" spans="1:7" x14ac:dyDescent="0.2">
      <c r="B10" t="s">
        <v>130</v>
      </c>
      <c r="D10" s="1">
        <f>D4*D5</f>
        <v>275943</v>
      </c>
      <c r="E10" s="1">
        <f t="shared" ref="E10:G10" si="1">E4*E5</f>
        <v>551886</v>
      </c>
      <c r="F10" s="1">
        <f t="shared" si="1"/>
        <v>5518860</v>
      </c>
      <c r="G10" s="1">
        <f t="shared" si="1"/>
        <v>5518860</v>
      </c>
    </row>
    <row r="11" spans="1:7" x14ac:dyDescent="0.2">
      <c r="B11" t="s">
        <v>131</v>
      </c>
      <c r="C11">
        <v>1</v>
      </c>
      <c r="D11" s="13">
        <f t="shared" ref="D11:D22" si="2">IPMT(D$6/12,$C11,D$7*12,D$10)</f>
        <v>-1149.7625</v>
      </c>
      <c r="E11" s="13">
        <f t="shared" ref="E11:G11" si="3">IPMT(E$6/12,$C11,E$7*12,E$10)</f>
        <v>-2299.5250000000001</v>
      </c>
      <c r="F11" s="13">
        <f t="shared" si="3"/>
        <v>-22995.25</v>
      </c>
      <c r="G11" s="13">
        <f t="shared" si="3"/>
        <v>-22995.25</v>
      </c>
    </row>
    <row r="12" spans="1:7" x14ac:dyDescent="0.2">
      <c r="C12">
        <v>2</v>
      </c>
      <c r="D12" s="13">
        <f t="shared" si="2"/>
        <v>-1146.9652534772224</v>
      </c>
      <c r="E12" s="13">
        <f t="shared" ref="E12:G22" si="4">IPMT(E$6/12,$C12,E$7*12,E$10)</f>
        <v>-2293.9305069544448</v>
      </c>
      <c r="F12" s="13">
        <f t="shared" si="4"/>
        <v>-22939.305069544454</v>
      </c>
      <c r="G12" s="13">
        <f t="shared" si="4"/>
        <v>-22939.305069544454</v>
      </c>
    </row>
    <row r="13" spans="1:7" x14ac:dyDescent="0.2">
      <c r="C13">
        <v>3</v>
      </c>
      <c r="D13" s="13">
        <f t="shared" si="2"/>
        <v>-1144.1563517606</v>
      </c>
      <c r="E13" s="13">
        <f t="shared" si="4"/>
        <v>-2288.3127035212001</v>
      </c>
      <c r="F13" s="13">
        <f t="shared" si="4"/>
        <v>-22883.127035212001</v>
      </c>
      <c r="G13" s="13">
        <f t="shared" si="4"/>
        <v>-22883.127035212001</v>
      </c>
    </row>
    <row r="14" spans="1:7" x14ac:dyDescent="0.2">
      <c r="C14">
        <v>4</v>
      </c>
      <c r="D14" s="13">
        <f t="shared" si="2"/>
        <v>-1141.335746286825</v>
      </c>
      <c r="E14" s="13">
        <f t="shared" si="4"/>
        <v>-2282.6714925736501</v>
      </c>
      <c r="F14" s="13">
        <f t="shared" si="4"/>
        <v>-22826.714925736498</v>
      </c>
      <c r="G14" s="13">
        <f t="shared" si="4"/>
        <v>-22826.714925736498</v>
      </c>
    </row>
    <row r="15" spans="1:7" x14ac:dyDescent="0.2">
      <c r="C15">
        <v>5</v>
      </c>
      <c r="D15" s="13">
        <f t="shared" si="2"/>
        <v>-1138.5033882902424</v>
      </c>
      <c r="E15" s="13">
        <f t="shared" si="4"/>
        <v>-2277.0067765804847</v>
      </c>
      <c r="F15" s="13">
        <f t="shared" si="4"/>
        <v>-22770.067765804844</v>
      </c>
      <c r="G15" s="13">
        <f t="shared" si="4"/>
        <v>-22770.067765804844</v>
      </c>
    </row>
    <row r="16" spans="1:7" x14ac:dyDescent="0.2">
      <c r="C16">
        <v>6</v>
      </c>
      <c r="D16" s="13">
        <f t="shared" si="2"/>
        <v>-1135.6592288020076</v>
      </c>
      <c r="E16" s="13">
        <f t="shared" si="4"/>
        <v>-2271.3184576040153</v>
      </c>
      <c r="F16" s="13">
        <f t="shared" si="4"/>
        <v>-22713.184576040152</v>
      </c>
      <c r="G16" s="13">
        <f t="shared" si="4"/>
        <v>-22713.184576040152</v>
      </c>
    </row>
    <row r="17" spans="2:7" x14ac:dyDescent="0.2">
      <c r="C17">
        <v>7</v>
      </c>
      <c r="D17" s="13">
        <f t="shared" si="2"/>
        <v>-1132.8032186492383</v>
      </c>
      <c r="E17" s="13">
        <f t="shared" si="4"/>
        <v>-2265.6064372984765</v>
      </c>
      <c r="F17" s="13">
        <f t="shared" si="4"/>
        <v>-22656.064372984765</v>
      </c>
      <c r="G17" s="13">
        <f t="shared" si="4"/>
        <v>-22656.064372984765</v>
      </c>
    </row>
    <row r="18" spans="2:7" x14ac:dyDescent="0.2">
      <c r="C18">
        <v>8</v>
      </c>
      <c r="D18" s="13">
        <f t="shared" si="2"/>
        <v>-1129.9353084541658</v>
      </c>
      <c r="E18" s="13">
        <f t="shared" si="4"/>
        <v>-2259.8706169083316</v>
      </c>
      <c r="F18" s="13">
        <f t="shared" si="4"/>
        <v>-22598.706169083318</v>
      </c>
      <c r="G18" s="13">
        <f t="shared" si="4"/>
        <v>-22598.706169083318</v>
      </c>
    </row>
    <row r="19" spans="2:7" x14ac:dyDescent="0.2">
      <c r="C19">
        <v>9</v>
      </c>
      <c r="D19" s="13">
        <f t="shared" si="2"/>
        <v>-1127.0554486332805</v>
      </c>
      <c r="E19" s="13">
        <f t="shared" si="4"/>
        <v>-2254.1108972665611</v>
      </c>
      <c r="F19" s="13">
        <f t="shared" si="4"/>
        <v>-22541.108972665614</v>
      </c>
      <c r="G19" s="13">
        <f t="shared" si="4"/>
        <v>-22541.108972665614</v>
      </c>
    </row>
    <row r="20" spans="2:7" x14ac:dyDescent="0.2">
      <c r="C20">
        <v>10</v>
      </c>
      <c r="D20" s="13">
        <f t="shared" si="2"/>
        <v>-1124.1635893964751</v>
      </c>
      <c r="E20" s="13">
        <f t="shared" si="4"/>
        <v>-2248.3271787929502</v>
      </c>
      <c r="F20" s="13">
        <f t="shared" si="4"/>
        <v>-22483.271787929505</v>
      </c>
      <c r="G20" s="13">
        <f t="shared" si="4"/>
        <v>-22483.271787929505</v>
      </c>
    </row>
    <row r="21" spans="2:7" x14ac:dyDescent="0.2">
      <c r="C21">
        <v>11</v>
      </c>
      <c r="D21" s="13">
        <f t="shared" si="2"/>
        <v>-1121.2596807461828</v>
      </c>
      <c r="E21" s="13">
        <f t="shared" si="4"/>
        <v>-2242.5193614923655</v>
      </c>
      <c r="F21" s="13">
        <f t="shared" si="4"/>
        <v>-22425.193614923654</v>
      </c>
      <c r="G21" s="13">
        <f t="shared" si="4"/>
        <v>-22425.193614923654</v>
      </c>
    </row>
    <row r="22" spans="2:7" x14ac:dyDescent="0.2">
      <c r="C22">
        <v>12</v>
      </c>
      <c r="D22" s="13">
        <f t="shared" si="2"/>
        <v>-1118.343672476514</v>
      </c>
      <c r="E22" s="13">
        <f t="shared" si="4"/>
        <v>-2236.6873449530281</v>
      </c>
      <c r="F22" s="13">
        <f t="shared" si="4"/>
        <v>-22366.873449530282</v>
      </c>
      <c r="G22" s="13">
        <f t="shared" si="4"/>
        <v>-22366.873449530282</v>
      </c>
    </row>
    <row r="24" spans="2:7" x14ac:dyDescent="0.2">
      <c r="B24" t="s">
        <v>132</v>
      </c>
      <c r="D24" s="13">
        <f>SUM(D11:D22)</f>
        <v>-13609.943386972755</v>
      </c>
      <c r="E24" s="13">
        <f t="shared" ref="E24:G24" si="5">SUM(E11:E22)</f>
        <v>-27219.886773945509</v>
      </c>
      <c r="F24" s="13">
        <f t="shared" si="5"/>
        <v>-272198.86773945508</v>
      </c>
      <c r="G24" s="13">
        <f t="shared" si="5"/>
        <v>-272198.86773945508</v>
      </c>
    </row>
    <row r="26" spans="2:7" x14ac:dyDescent="0.2">
      <c r="B26" t="s">
        <v>138</v>
      </c>
      <c r="D26" s="10">
        <f>-D8*12</f>
        <v>21853.219985599451</v>
      </c>
      <c r="E26" s="10">
        <f t="shared" ref="E26:G26" si="6">-E8*12</f>
        <v>43706.439971198903</v>
      </c>
      <c r="F26" s="10">
        <f t="shared" si="6"/>
        <v>437064.3997119891</v>
      </c>
      <c r="G26" s="10">
        <f t="shared" si="6"/>
        <v>437064.3997119891</v>
      </c>
    </row>
  </sheetData>
  <sheetProtection algorithmName="SHA-512" hashValue="Y/kCLIgQH+3I9KST73DShc+ZGMFEBheRi9Xv3e0QQbe2YlS/DNfQuHd8wFMDKIb0SwAJAAlQmNSpqp4D3vieTg==" saltValue="HL8CdKSiNJfzeFfuTlEA+g==" spinCount="100000" sheet="1" objects="1" scenarios="1"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Parameters</vt:lpstr>
      <vt:lpstr>Juvenile Cost Detail</vt:lpstr>
      <vt:lpstr> Summary Model Stage 4</vt:lpstr>
      <vt:lpstr>Equip Interest Stage 4</vt:lpstr>
      <vt:lpstr>Bldg Interest Stage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azwem_000</dc:creator>
  <cp:lastModifiedBy>Microsoft Office User</cp:lastModifiedBy>
  <cp:lastPrinted>2013-05-29T11:05:56Z</cp:lastPrinted>
  <dcterms:created xsi:type="dcterms:W3CDTF">2013-05-23T15:41:13Z</dcterms:created>
  <dcterms:modified xsi:type="dcterms:W3CDTF">2021-07-26T17:17:11Z</dcterms:modified>
</cp:coreProperties>
</file>